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e7968cf96977ff/ドキュメント/FB News/今更聞けない無線と回路設計の話/【テーマ2】デシベルと無線工学/No20/"/>
    </mc:Choice>
  </mc:AlternateContent>
  <xr:revisionPtr revIDLastSave="9" documentId="8_{B16435C1-31B2-47DC-A800-3A603F286647}" xr6:coauthVersionLast="47" xr6:coauthVersionMax="47" xr10:uidLastSave="{DE1882F1-CF53-480A-A30E-02AB4DD66CC4}"/>
  <bookViews>
    <workbookView minimized="1" xWindow="3210" yWindow="2040" windowWidth="14700" windowHeight="11295" xr2:uid="{0FE19D64-66C7-4663-B43D-D6C35849C5D8}"/>
  </bookViews>
  <sheets>
    <sheet name="第19話" sheetId="3" r:id="rId1"/>
    <sheet name="第18話" sheetId="4" r:id="rId2"/>
    <sheet name="第16話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4" l="1"/>
  <c r="AJ61" i="4"/>
  <c r="AK61" i="4" s="1"/>
  <c r="AI63" i="4" s="1"/>
  <c r="AI64" i="4" s="1"/>
  <c r="H59" i="4" s="1"/>
  <c r="AJ65" i="4"/>
  <c r="AK65" i="4"/>
  <c r="AI67" i="4" s="1"/>
  <c r="AI68" i="4" s="1"/>
  <c r="H66" i="4" s="1"/>
  <c r="Z68" i="4"/>
  <c r="Z66" i="4" s="1"/>
  <c r="AJ69" i="4"/>
  <c r="AK69" i="4"/>
  <c r="AI71" i="4" s="1"/>
  <c r="AI72" i="4" s="1"/>
  <c r="AD76" i="4"/>
  <c r="J77" i="4"/>
  <c r="L77" i="4"/>
  <c r="L63" i="4" s="1"/>
  <c r="AA77" i="4"/>
  <c r="AB77" i="4"/>
  <c r="AC77" i="4"/>
  <c r="AD77" i="4" s="1"/>
  <c r="J78" i="4"/>
  <c r="AJ79" i="4"/>
  <c r="I80" i="4"/>
  <c r="J80" i="4"/>
  <c r="L80" i="4"/>
  <c r="M80" i="4"/>
  <c r="Z80" i="4"/>
  <c r="AA80" i="4"/>
  <c r="AD80" i="4"/>
  <c r="AJ80" i="4"/>
  <c r="AH82" i="4" s="1"/>
  <c r="AH81" i="4"/>
  <c r="P68" i="4" s="1"/>
  <c r="P66" i="4" s="1"/>
  <c r="N82" i="4"/>
  <c r="W82" i="4"/>
  <c r="I84" i="4"/>
  <c r="I83" i="4" s="1"/>
  <c r="R84" i="4"/>
  <c r="AJ82" i="4" l="1"/>
  <c r="AH83" i="4"/>
  <c r="H62" i="4"/>
  <c r="H68" i="4"/>
  <c r="H64" i="4" s="1"/>
  <c r="H57" i="4"/>
  <c r="H61" i="4"/>
  <c r="I59" i="4"/>
  <c r="N68" i="4"/>
  <c r="N66" i="4" s="1"/>
  <c r="H84" i="4"/>
  <c r="H83" i="4" s="1"/>
  <c r="J68" i="4"/>
  <c r="J66" i="4" s="1"/>
  <c r="J67" i="4" s="1"/>
  <c r="Y68" i="4"/>
  <c r="Y66" i="4" s="1"/>
  <c r="M68" i="4"/>
  <c r="AE84" i="4"/>
  <c r="I68" i="4"/>
  <c r="P84" i="4"/>
  <c r="X68" i="4"/>
  <c r="X66" i="4" s="1"/>
  <c r="O84" i="4"/>
  <c r="W68" i="4"/>
  <c r="W66" i="4" s="1"/>
  <c r="M84" i="4"/>
  <c r="Q84" i="4"/>
  <c r="N84" i="4"/>
  <c r="J84" i="4"/>
  <c r="J83" i="4" s="1"/>
  <c r="Z84" i="4"/>
  <c r="Z83" i="4" s="1"/>
  <c r="U84" i="4"/>
  <c r="AE68" i="4"/>
  <c r="AE66" i="4" s="1"/>
  <c r="T84" i="4"/>
  <c r="O68" i="4"/>
  <c r="O66" i="4" s="1"/>
  <c r="AA84" i="4"/>
  <c r="AA83" i="4" s="1"/>
  <c r="Y84" i="4"/>
  <c r="X84" i="4"/>
  <c r="W84" i="4"/>
  <c r="V84" i="4"/>
  <c r="S84" i="4"/>
  <c r="AJ81" i="4"/>
  <c r="AA68" i="4"/>
  <c r="AA66" i="4" s="1"/>
  <c r="AA67" i="4" s="1"/>
  <c r="Q68" i="4"/>
  <c r="Q66" i="4" s="1"/>
  <c r="J59" i="4" l="1"/>
  <c r="J60" i="4"/>
  <c r="I64" i="4"/>
  <c r="I62" i="4" s="1"/>
  <c r="I66" i="4"/>
  <c r="H65" i="4"/>
  <c r="I61" i="4"/>
  <c r="I57" i="4"/>
  <c r="AD68" i="4"/>
  <c r="AD66" i="4" s="1"/>
  <c r="AD67" i="4" s="1"/>
  <c r="M66" i="4"/>
  <c r="J57" i="4" l="1"/>
  <c r="K60" i="4"/>
  <c r="J70" i="4"/>
  <c r="J63" i="4" s="1"/>
  <c r="I65" i="4"/>
  <c r="J61" i="4"/>
  <c r="K63" i="4" l="1"/>
  <c r="J62" i="4"/>
  <c r="J64" i="4" s="1"/>
  <c r="J65" i="4"/>
  <c r="K57" i="4"/>
  <c r="K65" i="4"/>
  <c r="L60" i="4"/>
  <c r="AB60" i="4"/>
  <c r="AB57" i="4" s="1"/>
  <c r="AC60" i="4"/>
  <c r="AD60" i="4" l="1"/>
  <c r="AC57" i="4"/>
  <c r="L57" i="4"/>
  <c r="M60" i="4"/>
  <c r="L65" i="4"/>
  <c r="M59" i="4"/>
  <c r="AB63" i="4"/>
  <c r="AC63" i="4"/>
  <c r="N59" i="4" l="1"/>
  <c r="N61" i="4" s="1"/>
  <c r="M69" i="4"/>
  <c r="M62" i="4" s="1"/>
  <c r="M57" i="4"/>
  <c r="AD59" i="4"/>
  <c r="AD70" i="4"/>
  <c r="AC65" i="4"/>
  <c r="AE59" i="4" l="1"/>
  <c r="AE61" i="4" s="1"/>
  <c r="AD69" i="4"/>
  <c r="AD62" i="4" s="1"/>
  <c r="AD61" i="4"/>
  <c r="AD65" i="4"/>
  <c r="AD57" i="4"/>
  <c r="M63" i="4"/>
  <c r="O57" i="4"/>
  <c r="O61" i="4"/>
  <c r="N57" i="4"/>
  <c r="N71" i="4"/>
  <c r="N64" i="4" s="1"/>
  <c r="N62" i="4" l="1"/>
  <c r="N65" i="4"/>
  <c r="P61" i="4"/>
  <c r="O74" i="4"/>
  <c r="O71" i="4"/>
  <c r="O64" i="4" s="1"/>
  <c r="AD64" i="4"/>
  <c r="AD63" i="4"/>
  <c r="AE74" i="4"/>
  <c r="AE73" i="4" s="1"/>
  <c r="AE57" i="4"/>
  <c r="O65" i="4" l="1"/>
  <c r="AE64" i="4"/>
  <c r="Q61" i="4"/>
  <c r="P57" i="4"/>
  <c r="P74" i="4"/>
  <c r="P64" i="4" s="1"/>
  <c r="P65" i="4" l="1"/>
  <c r="Q57" i="4"/>
  <c r="Q74" i="4"/>
  <c r="Q64" i="4" s="1"/>
  <c r="R61" i="4"/>
  <c r="AE62" i="4"/>
  <c r="AE65" i="4"/>
  <c r="R64" i="4" l="1"/>
  <c r="S64" i="4" s="1"/>
  <c r="T64" i="4" s="1"/>
  <c r="U64" i="4" s="1"/>
  <c r="V64" i="4" s="1"/>
  <c r="W64" i="4" s="1"/>
  <c r="Q65" i="4"/>
  <c r="R65" i="4"/>
  <c r="S61" i="4"/>
  <c r="S65" i="4" l="1"/>
  <c r="T61" i="4"/>
  <c r="T65" i="4" l="1"/>
  <c r="U61" i="4"/>
  <c r="V61" i="4" l="1"/>
  <c r="U65" i="4"/>
  <c r="W61" i="4" l="1"/>
  <c r="V65" i="4"/>
  <c r="W57" i="4" l="1"/>
  <c r="X61" i="4"/>
  <c r="X57" i="4"/>
  <c r="W65" i="4"/>
  <c r="X71" i="4" l="1"/>
  <c r="X64" i="4" s="1"/>
  <c r="Y64" i="4" s="1"/>
  <c r="X65" i="4"/>
  <c r="Y61" i="4"/>
  <c r="Y65" i="4" l="1"/>
  <c r="Y57" i="4"/>
  <c r="Y59" i="4"/>
  <c r="Z59" i="4" s="1"/>
  <c r="Y62" i="4"/>
  <c r="AA60" i="4" l="1"/>
  <c r="Z69" i="4"/>
  <c r="Z62" i="4" s="1"/>
  <c r="AA59" i="4"/>
  <c r="Z57" i="4"/>
  <c r="AA62" i="4" l="1"/>
  <c r="AA65" i="4" s="1"/>
  <c r="AA63" i="4"/>
  <c r="AA57" i="4"/>
  <c r="AA70" i="4"/>
  <c r="Z65" i="4"/>
  <c r="T58" i="3"/>
  <c r="AJ61" i="3"/>
  <c r="AK61" i="3"/>
  <c r="AI63" i="3" s="1"/>
  <c r="AI64" i="3" s="1"/>
  <c r="H59" i="3" s="1"/>
  <c r="L63" i="3"/>
  <c r="AJ65" i="3"/>
  <c r="AK65" i="3"/>
  <c r="AI67" i="3" s="1"/>
  <c r="AI68" i="3" s="1"/>
  <c r="H66" i="3" s="1"/>
  <c r="AJ69" i="3"/>
  <c r="AK69" i="3" s="1"/>
  <c r="AI71" i="3"/>
  <c r="AI72" i="3"/>
  <c r="AD76" i="3"/>
  <c r="J77" i="3"/>
  <c r="L77" i="3"/>
  <c r="AA77" i="3"/>
  <c r="AB77" i="3"/>
  <c r="AC77" i="3"/>
  <c r="AD77" i="3"/>
  <c r="J78" i="3"/>
  <c r="AJ79" i="3"/>
  <c r="AH81" i="3" s="1"/>
  <c r="I80" i="3"/>
  <c r="J80" i="3"/>
  <c r="L80" i="3"/>
  <c r="M80" i="3"/>
  <c r="Z80" i="3"/>
  <c r="AA80" i="3"/>
  <c r="AD80" i="3"/>
  <c r="AJ80" i="3"/>
  <c r="N82" i="3"/>
  <c r="W82" i="3"/>
  <c r="V84" i="3"/>
  <c r="W82" i="1"/>
  <c r="N82" i="1"/>
  <c r="AJ80" i="1"/>
  <c r="AD80" i="1"/>
  <c r="AA80" i="1"/>
  <c r="Z80" i="1"/>
  <c r="M80" i="1"/>
  <c r="L80" i="1"/>
  <c r="J80" i="1"/>
  <c r="I80" i="1"/>
  <c r="AJ79" i="1"/>
  <c r="AH82" i="1" s="1"/>
  <c r="J78" i="1"/>
  <c r="AC77" i="1"/>
  <c r="AD77" i="1" s="1"/>
  <c r="AB77" i="1"/>
  <c r="AA77" i="1"/>
  <c r="L77" i="1"/>
  <c r="L63" i="1" s="1"/>
  <c r="J77" i="1"/>
  <c r="AD76" i="1"/>
  <c r="AJ69" i="1"/>
  <c r="AK69" i="1" s="1"/>
  <c r="AI71" i="1" s="1"/>
  <c r="AI72" i="1" s="1"/>
  <c r="AJ65" i="1"/>
  <c r="AK65" i="1" s="1"/>
  <c r="AI67" i="1" s="1"/>
  <c r="AI68" i="1" s="1"/>
  <c r="H66" i="1" s="1"/>
  <c r="AJ61" i="1"/>
  <c r="AK61" i="1" s="1"/>
  <c r="AI63" i="1" s="1"/>
  <c r="AI64" i="1" s="1"/>
  <c r="H59" i="1" s="1"/>
  <c r="T58" i="1"/>
  <c r="W68" i="3" l="1"/>
  <c r="W66" i="3" s="1"/>
  <c r="O84" i="3"/>
  <c r="AA84" i="3"/>
  <c r="AA83" i="3" s="1"/>
  <c r="X68" i="3"/>
  <c r="X66" i="3" s="1"/>
  <c r="P84" i="3"/>
  <c r="AE84" i="3"/>
  <c r="Y68" i="3"/>
  <c r="Y66" i="3" s="1"/>
  <c r="Q84" i="3"/>
  <c r="Z68" i="3"/>
  <c r="Z66" i="3" s="1"/>
  <c r="R84" i="3"/>
  <c r="AA68" i="3"/>
  <c r="AA66" i="3" s="1"/>
  <c r="AA67" i="3" s="1"/>
  <c r="S84" i="3"/>
  <c r="Y84" i="3"/>
  <c r="AE68" i="3"/>
  <c r="AE66" i="3" s="1"/>
  <c r="Z84" i="3"/>
  <c r="Z83" i="3" s="1"/>
  <c r="H84" i="3"/>
  <c r="H83" i="3" s="1"/>
  <c r="I84" i="3"/>
  <c r="I83" i="3" s="1"/>
  <c r="J84" i="3"/>
  <c r="J83" i="3" s="1"/>
  <c r="I68" i="3"/>
  <c r="M84" i="3"/>
  <c r="J68" i="3"/>
  <c r="J66" i="3" s="1"/>
  <c r="J67" i="3" s="1"/>
  <c r="N84" i="3"/>
  <c r="M68" i="3"/>
  <c r="T84" i="3"/>
  <c r="N68" i="3"/>
  <c r="N66" i="3" s="1"/>
  <c r="AJ81" i="3"/>
  <c r="U84" i="3"/>
  <c r="AH82" i="3"/>
  <c r="Q68" i="3"/>
  <c r="Q66" i="3" s="1"/>
  <c r="P68" i="3"/>
  <c r="P66" i="3" s="1"/>
  <c r="O68" i="3"/>
  <c r="O66" i="3" s="1"/>
  <c r="H61" i="3"/>
  <c r="H57" i="3"/>
  <c r="H68" i="3"/>
  <c r="H64" i="3" s="1"/>
  <c r="H62" i="3"/>
  <c r="X84" i="3"/>
  <c r="I59" i="3"/>
  <c r="W84" i="3"/>
  <c r="I57" i="3"/>
  <c r="H68" i="1"/>
  <c r="H64" i="1" s="1"/>
  <c r="H62" i="1"/>
  <c r="AJ82" i="1"/>
  <c r="AH83" i="1"/>
  <c r="H61" i="1"/>
  <c r="H57" i="1"/>
  <c r="I59" i="1"/>
  <c r="AH81" i="1"/>
  <c r="M66" i="3" l="1"/>
  <c r="AD68" i="3"/>
  <c r="AD66" i="3" s="1"/>
  <c r="AD67" i="3" s="1"/>
  <c r="I61" i="3"/>
  <c r="H65" i="3"/>
  <c r="I64" i="3"/>
  <c r="I62" i="3" s="1"/>
  <c r="I66" i="3"/>
  <c r="AJ82" i="3"/>
  <c r="AH83" i="3"/>
  <c r="J60" i="3"/>
  <c r="J59" i="3"/>
  <c r="AE84" i="1"/>
  <c r="I68" i="1"/>
  <c r="V84" i="1"/>
  <c r="AA84" i="1"/>
  <c r="AA83" i="1" s="1"/>
  <c r="Z84" i="1"/>
  <c r="Z83" i="1" s="1"/>
  <c r="Y84" i="1"/>
  <c r="X84" i="1"/>
  <c r="W84" i="1"/>
  <c r="U84" i="1"/>
  <c r="AE68" i="1"/>
  <c r="AE66" i="1" s="1"/>
  <c r="AJ81" i="1"/>
  <c r="AA68" i="1"/>
  <c r="AA66" i="1" s="1"/>
  <c r="AA67" i="1" s="1"/>
  <c r="R84" i="1"/>
  <c r="X68" i="1"/>
  <c r="X66" i="1" s="1"/>
  <c r="T84" i="1"/>
  <c r="S84" i="1"/>
  <c r="Z68" i="1"/>
  <c r="Z66" i="1" s="1"/>
  <c r="O84" i="1"/>
  <c r="W68" i="1"/>
  <c r="W66" i="1" s="1"/>
  <c r="M68" i="1"/>
  <c r="Q84" i="1"/>
  <c r="Y68" i="1"/>
  <c r="Y66" i="1" s="1"/>
  <c r="P84" i="1"/>
  <c r="N84" i="1"/>
  <c r="Q68" i="1"/>
  <c r="Q66" i="1" s="1"/>
  <c r="P68" i="1"/>
  <c r="P66" i="1" s="1"/>
  <c r="J84" i="1"/>
  <c r="J83" i="1" s="1"/>
  <c r="M84" i="1"/>
  <c r="O68" i="1"/>
  <c r="O66" i="1" s="1"/>
  <c r="I84" i="1"/>
  <c r="I83" i="1" s="1"/>
  <c r="J68" i="1"/>
  <c r="J66" i="1" s="1"/>
  <c r="J67" i="1" s="1"/>
  <c r="N68" i="1"/>
  <c r="N66" i="1" s="1"/>
  <c r="H84" i="1"/>
  <c r="H83" i="1" s="1"/>
  <c r="J60" i="1"/>
  <c r="J59" i="1"/>
  <c r="H65" i="1"/>
  <c r="I61" i="1"/>
  <c r="I57" i="1"/>
  <c r="J57" i="3" l="1"/>
  <c r="J70" i="3"/>
  <c r="K60" i="3"/>
  <c r="J63" i="3"/>
  <c r="J61" i="3"/>
  <c r="I65" i="3"/>
  <c r="J70" i="1"/>
  <c r="K60" i="1"/>
  <c r="J57" i="1"/>
  <c r="J61" i="1"/>
  <c r="AD68" i="1"/>
  <c r="AD66" i="1" s="1"/>
  <c r="AD67" i="1" s="1"/>
  <c r="M66" i="1"/>
  <c r="I64" i="1"/>
  <c r="I62" i="1" s="1"/>
  <c r="J63" i="1" s="1"/>
  <c r="I66" i="1"/>
  <c r="K63" i="3" l="1"/>
  <c r="J62" i="3"/>
  <c r="J64" i="3" s="1"/>
  <c r="J65" i="3" s="1"/>
  <c r="K65" i="3"/>
  <c r="K57" i="3"/>
  <c r="L60" i="3"/>
  <c r="AB60" i="3"/>
  <c r="AB57" i="3" s="1"/>
  <c r="AC60" i="3"/>
  <c r="K63" i="1"/>
  <c r="J62" i="1"/>
  <c r="J64" i="1" s="1"/>
  <c r="J65" i="1"/>
  <c r="I65" i="1"/>
  <c r="K65" i="1"/>
  <c r="AC60" i="1"/>
  <c r="AB60" i="1"/>
  <c r="AB57" i="1" s="1"/>
  <c r="K57" i="1"/>
  <c r="L60" i="1"/>
  <c r="AD60" i="3" l="1"/>
  <c r="AC57" i="3"/>
  <c r="L65" i="3"/>
  <c r="L57" i="3"/>
  <c r="M59" i="3"/>
  <c r="M60" i="3"/>
  <c r="AC63" i="3"/>
  <c r="AB63" i="3"/>
  <c r="L65" i="1"/>
  <c r="M60" i="1"/>
  <c r="L57" i="1"/>
  <c r="M59" i="1"/>
  <c r="AD60" i="1"/>
  <c r="AC57" i="1"/>
  <c r="AC63" i="1"/>
  <c r="AB63" i="1"/>
  <c r="M57" i="3" l="1"/>
  <c r="N59" i="3"/>
  <c r="N61" i="3" s="1"/>
  <c r="M69" i="3"/>
  <c r="M62" i="3" s="1"/>
  <c r="AC65" i="3"/>
  <c r="AD70" i="3"/>
  <c r="AD59" i="3"/>
  <c r="AC65" i="1"/>
  <c r="AD70" i="1"/>
  <c r="AD59" i="1"/>
  <c r="M69" i="1"/>
  <c r="M62" i="1" s="1"/>
  <c r="N59" i="1"/>
  <c r="N61" i="1" s="1"/>
  <c r="M57" i="1"/>
  <c r="AE59" i="3" l="1"/>
  <c r="AE61" i="3" s="1"/>
  <c r="AD61" i="3"/>
  <c r="AD69" i="3"/>
  <c r="AD62" i="3" s="1"/>
  <c r="AD57" i="3"/>
  <c r="M63" i="3"/>
  <c r="N71" i="3"/>
  <c r="N64" i="3" s="1"/>
  <c r="N57" i="3"/>
  <c r="O57" i="3"/>
  <c r="O61" i="3"/>
  <c r="N57" i="1"/>
  <c r="O57" i="1"/>
  <c r="O61" i="1"/>
  <c r="N71" i="1"/>
  <c r="M63" i="1"/>
  <c r="N64" i="1"/>
  <c r="AD69" i="1"/>
  <c r="AD62" i="1" s="1"/>
  <c r="AD65" i="1" s="1"/>
  <c r="AD61" i="1"/>
  <c r="AE59" i="1"/>
  <c r="AE61" i="1" s="1"/>
  <c r="AD57" i="1"/>
  <c r="N62" i="3" l="1"/>
  <c r="N65" i="3"/>
  <c r="O74" i="3"/>
  <c r="O71" i="3"/>
  <c r="O64" i="3" s="1"/>
  <c r="P61" i="3"/>
  <c r="AD63" i="3"/>
  <c r="AD64" i="3"/>
  <c r="AD65" i="3"/>
  <c r="AE74" i="3"/>
  <c r="AE73" i="3" s="1"/>
  <c r="AE57" i="3"/>
  <c r="AE57" i="1"/>
  <c r="AE74" i="1"/>
  <c r="AE73" i="1" s="1"/>
  <c r="N62" i="1"/>
  <c r="AD63" i="1"/>
  <c r="AD64" i="1"/>
  <c r="AE64" i="1" s="1"/>
  <c r="AE62" i="1" s="1"/>
  <c r="N65" i="1"/>
  <c r="O74" i="1"/>
  <c r="P61" i="1"/>
  <c r="O71" i="1"/>
  <c r="O64" i="1" s="1"/>
  <c r="O65" i="3" l="1"/>
  <c r="AE64" i="3"/>
  <c r="P74" i="3"/>
  <c r="P64" i="3" s="1"/>
  <c r="P57" i="3"/>
  <c r="Q61" i="3"/>
  <c r="O65" i="1"/>
  <c r="P74" i="1"/>
  <c r="P64" i="1" s="1"/>
  <c r="P57" i="1"/>
  <c r="Q61" i="1"/>
  <c r="AE65" i="1"/>
  <c r="Q64" i="3" l="1"/>
  <c r="R64" i="3" s="1"/>
  <c r="S64" i="3" s="1"/>
  <c r="T64" i="3" s="1"/>
  <c r="U64" i="3" s="1"/>
  <c r="V64" i="3" s="1"/>
  <c r="W64" i="3" s="1"/>
  <c r="P65" i="3"/>
  <c r="AE62" i="3"/>
  <c r="AE65" i="3"/>
  <c r="Q74" i="3"/>
  <c r="R61" i="3"/>
  <c r="Q57" i="3"/>
  <c r="P65" i="1"/>
  <c r="Q74" i="1"/>
  <c r="Q64" i="1" s="1"/>
  <c r="Q57" i="1"/>
  <c r="R61" i="1"/>
  <c r="Q65" i="3" l="1"/>
  <c r="S61" i="3"/>
  <c r="R65" i="3"/>
  <c r="R64" i="1"/>
  <c r="S64" i="1" s="1"/>
  <c r="T64" i="1" s="1"/>
  <c r="U64" i="1" s="1"/>
  <c r="V64" i="1" s="1"/>
  <c r="W64" i="1" s="1"/>
  <c r="Q65" i="1"/>
  <c r="S61" i="1"/>
  <c r="R65" i="1"/>
  <c r="T61" i="3" l="1"/>
  <c r="S65" i="3"/>
  <c r="T61" i="1"/>
  <c r="S65" i="1"/>
  <c r="U61" i="3" l="1"/>
  <c r="T65" i="3"/>
  <c r="U61" i="1"/>
  <c r="T65" i="1"/>
  <c r="V61" i="3" l="1"/>
  <c r="U65" i="3"/>
  <c r="U65" i="1"/>
  <c r="V61" i="1"/>
  <c r="W61" i="3" l="1"/>
  <c r="V65" i="3"/>
  <c r="W61" i="1"/>
  <c r="V65" i="1"/>
  <c r="X61" i="3" l="1"/>
  <c r="W65" i="3"/>
  <c r="W57" i="3"/>
  <c r="X57" i="3"/>
  <c r="X61" i="1"/>
  <c r="X57" i="1"/>
  <c r="W57" i="1"/>
  <c r="W65" i="1"/>
  <c r="Y61" i="3" l="1"/>
  <c r="X71" i="3"/>
  <c r="X64" i="3" s="1"/>
  <c r="Y64" i="3" s="1"/>
  <c r="X71" i="1"/>
  <c r="X64" i="1" s="1"/>
  <c r="Y64" i="1" s="1"/>
  <c r="Y61" i="1"/>
  <c r="Y59" i="3" l="1"/>
  <c r="Z59" i="3" s="1"/>
  <c r="Y65" i="3"/>
  <c r="Y57" i="3"/>
  <c r="Y62" i="3"/>
  <c r="X65" i="3"/>
  <c r="Y65" i="1"/>
  <c r="Y59" i="1"/>
  <c r="Z59" i="1" s="1"/>
  <c r="Y57" i="1"/>
  <c r="Y62" i="1"/>
  <c r="X65" i="1"/>
  <c r="AA59" i="3" l="1"/>
  <c r="Z69" i="3"/>
  <c r="Z62" i="3" s="1"/>
  <c r="AA60" i="3"/>
  <c r="Z57" i="3"/>
  <c r="Z69" i="1"/>
  <c r="Z62" i="1" s="1"/>
  <c r="Z65" i="1" s="1"/>
  <c r="AA60" i="1"/>
  <c r="AA59" i="1"/>
  <c r="Z57" i="1"/>
  <c r="AA57" i="3" l="1"/>
  <c r="AA70" i="3"/>
  <c r="AA62" i="3"/>
  <c r="AA63" i="3"/>
  <c r="Z65" i="3"/>
  <c r="AA65" i="3"/>
  <c r="AA57" i="1"/>
  <c r="AA70" i="1"/>
  <c r="AA63" i="1"/>
  <c r="AA62" i="1"/>
  <c r="AA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濱田倫一</author>
  </authors>
  <commentList>
    <comment ref="AE59" authorId="0" shapeId="0" xr:uid="{987C3CE0-4FFA-4DA4-A1A9-8F9BAD08DE87}">
      <text>
        <r>
          <rPr>
            <b/>
            <sz val="9"/>
            <color indexed="81"/>
            <rFont val="MS P ゴシック"/>
            <family val="3"/>
            <charset val="128"/>
          </rPr>
          <t>濱田倫一:</t>
        </r>
        <r>
          <rPr>
            <sz val="9"/>
            <color indexed="81"/>
            <rFont val="MS P ゴシック"/>
            <family val="3"/>
            <charset val="128"/>
          </rPr>
          <t xml:space="preserve">
トランスの一次側を想定</t>
        </r>
      </text>
    </comment>
    <comment ref="J80" authorId="0" shapeId="0" xr:uid="{E23DA65D-0383-412C-BE83-0BBF55997A07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  <comment ref="M80" authorId="0" shapeId="0" xr:uid="{DA66ED39-C675-4517-991C-881514BAAB95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Z80" authorId="0" shapeId="0" xr:uid="{0167F808-B910-492C-B2E2-3A111850280D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A80" authorId="0" shapeId="0" xr:uid="{7B140C03-199A-475E-BD4E-D1FDE9841708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D80" authorId="0" shapeId="0" xr:uid="{733AFB9C-2D7B-4288-8832-6243ED8A71A6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濱田倫一</author>
  </authors>
  <commentList>
    <comment ref="AE59" authorId="0" shapeId="0" xr:uid="{987C3CE0-4FFA-4DA4-A1A9-8F9BAD08DE87}">
      <text>
        <r>
          <rPr>
            <b/>
            <sz val="9"/>
            <color indexed="81"/>
            <rFont val="MS P ゴシック"/>
            <family val="3"/>
            <charset val="128"/>
          </rPr>
          <t>濱田倫一:</t>
        </r>
        <r>
          <rPr>
            <sz val="9"/>
            <color indexed="81"/>
            <rFont val="MS P ゴシック"/>
            <family val="3"/>
            <charset val="128"/>
          </rPr>
          <t xml:space="preserve">
トランスの一次側を想定</t>
        </r>
      </text>
    </comment>
    <comment ref="J80" authorId="0" shapeId="0" xr:uid="{E23DA65D-0383-412C-BE83-0BBF55997A07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  <comment ref="M80" authorId="0" shapeId="0" xr:uid="{DA66ED39-C675-4517-991C-881514BAAB95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Z80" authorId="0" shapeId="0" xr:uid="{0167F808-B910-492C-B2E2-3A111850280D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A80" authorId="0" shapeId="0" xr:uid="{7B140C03-199A-475E-BD4E-D1FDE9841708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D80" authorId="0" shapeId="0" xr:uid="{733AFB9C-2D7B-4288-8832-6243ED8A71A6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濱田倫一</author>
  </authors>
  <commentList>
    <comment ref="AE59" authorId="0" shapeId="0" xr:uid="{DBB4D900-1DB0-4227-941C-DE3D14FABFF4}">
      <text>
        <r>
          <rPr>
            <b/>
            <sz val="9"/>
            <color indexed="81"/>
            <rFont val="MS P ゴシック"/>
            <family val="3"/>
            <charset val="128"/>
          </rPr>
          <t>濱田倫一:</t>
        </r>
        <r>
          <rPr>
            <sz val="9"/>
            <color indexed="81"/>
            <rFont val="MS P ゴシック"/>
            <family val="3"/>
            <charset val="128"/>
          </rPr>
          <t xml:space="preserve">
トランスの一次側を想定</t>
        </r>
      </text>
    </comment>
    <comment ref="J80" authorId="0" shapeId="0" xr:uid="{FE226A7F-60CC-4646-9A28-15D25DD4AE40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  <comment ref="M80" authorId="0" shapeId="0" xr:uid="{2948B8B5-64E5-4020-A8D7-BA3FBB8CA27B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Z80" authorId="0" shapeId="0" xr:uid="{4446E56C-35DB-4BEE-8A44-6BA717B3F7BB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A80" authorId="0" shapeId="0" xr:uid="{64A2A18C-DC95-4701-82E7-238560BBD864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D80" authorId="0" shapeId="0" xr:uid="{8CE07052-0000-4940-B280-6294E0D8FCB4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</commentList>
</comments>
</file>

<file path=xl/sharedStrings.xml><?xml version="1.0" encoding="utf-8"?>
<sst xmlns="http://schemas.openxmlformats.org/spreadsheetml/2006/main" count="459" uniqueCount="93">
  <si>
    <t>伝送区間→</t>
    <rPh sb="0" eb="2">
      <t>デンソウ</t>
    </rPh>
    <rPh sb="2" eb="4">
      <t>クカン</t>
    </rPh>
    <phoneticPr fontId="2"/>
  </si>
  <si>
    <t>①音声
回路</t>
    <rPh sb="1" eb="3">
      <t>オンセイ</t>
    </rPh>
    <rPh sb="4" eb="6">
      <t>カイロ</t>
    </rPh>
    <phoneticPr fontId="2"/>
  </si>
  <si>
    <t>②変調</t>
    <rPh sb="1" eb="3">
      <t>ヘンチョウ</t>
    </rPh>
    <phoneticPr fontId="2"/>
  </si>
  <si>
    <t>②'アップ
コンバータ</t>
  </si>
  <si>
    <t>③電力
増幅</t>
    <rPh sb="1" eb="3">
      <t>デンリョク</t>
    </rPh>
    <rPh sb="4" eb="6">
      <t>ゾウフク</t>
    </rPh>
    <phoneticPr fontId="2"/>
  </si>
  <si>
    <t>④伝搬路</t>
    <rPh sb="1" eb="3">
      <t>デンパン</t>
    </rPh>
    <rPh sb="3" eb="4">
      <t>ロ</t>
    </rPh>
    <phoneticPr fontId="2"/>
  </si>
  <si>
    <t>⑤LNA</t>
  </si>
  <si>
    <t>⑥ダウン
コンバータ</t>
  </si>
  <si>
    <t>⑦復調回路</t>
    <rPh sb="1" eb="3">
      <t>フクチョウ</t>
    </rPh>
    <rPh sb="3" eb="5">
      <t>カイロ</t>
    </rPh>
    <phoneticPr fontId="2"/>
  </si>
  <si>
    <t>⑧’コーデック
（デコーダ）</t>
  </si>
  <si>
    <t>⑧音声
回路</t>
    <rPh sb="1" eb="3">
      <t>オンセイ</t>
    </rPh>
    <rPh sb="4" eb="6">
      <t>カイロ</t>
    </rPh>
    <phoneticPr fontId="2"/>
  </si>
  <si>
    <t>回路</t>
    <rPh sb="0" eb="2">
      <t>カイロ</t>
    </rPh>
    <phoneticPr fontId="2"/>
  </si>
  <si>
    <t>MIC</t>
    <phoneticPr fontId="2"/>
  </si>
  <si>
    <t>増幅</t>
    <rPh sb="0" eb="2">
      <t>ゾウフク</t>
    </rPh>
    <phoneticPr fontId="2"/>
  </si>
  <si>
    <t>ADC</t>
    <phoneticPr fontId="2"/>
  </si>
  <si>
    <t>符号化</t>
    <rPh sb="0" eb="3">
      <t>フゴウカ</t>
    </rPh>
    <phoneticPr fontId="2"/>
  </si>
  <si>
    <t>QPSK
波形
生成</t>
    <rPh sb="5" eb="7">
      <t>ハケイ</t>
    </rPh>
    <rPh sb="8" eb="10">
      <t>セイセイ</t>
    </rPh>
    <phoneticPr fontId="2"/>
  </si>
  <si>
    <t>DAC</t>
    <phoneticPr fontId="2"/>
  </si>
  <si>
    <t>I-Q
MOD</t>
    <phoneticPr fontId="2"/>
  </si>
  <si>
    <t>U/C</t>
    <phoneticPr fontId="2"/>
  </si>
  <si>
    <t>給電
回路</t>
    <rPh sb="0" eb="2">
      <t>キュウデン</t>
    </rPh>
    <rPh sb="3" eb="5">
      <t>カイロ</t>
    </rPh>
    <phoneticPr fontId="2"/>
  </si>
  <si>
    <t>ANT</t>
    <phoneticPr fontId="2"/>
  </si>
  <si>
    <t>AIR</t>
    <phoneticPr fontId="2"/>
  </si>
  <si>
    <t>SW･
BPF</t>
    <phoneticPr fontId="2"/>
  </si>
  <si>
    <t>D/C</t>
    <phoneticPr fontId="2"/>
  </si>
  <si>
    <t>I-Q
DEM</t>
    <phoneticPr fontId="2"/>
  </si>
  <si>
    <t>QPSK
復調</t>
    <rPh sb="5" eb="7">
      <t>フクチョウ</t>
    </rPh>
    <phoneticPr fontId="2"/>
  </si>
  <si>
    <t>復号</t>
    <rPh sb="0" eb="2">
      <t>フクゴウ</t>
    </rPh>
    <phoneticPr fontId="2"/>
  </si>
  <si>
    <t>出力信号の形態
上段：伝送信号
下段：搬送波・LO</t>
    <rPh sb="0" eb="2">
      <t>シュツリョク</t>
    </rPh>
    <rPh sb="2" eb="4">
      <t>シンゴウ</t>
    </rPh>
    <rPh sb="5" eb="7">
      <t>ケイタイ</t>
    </rPh>
    <rPh sb="9" eb="11">
      <t>ジョウダン</t>
    </rPh>
    <rPh sb="12" eb="14">
      <t>デンソウ</t>
    </rPh>
    <rPh sb="14" eb="16">
      <t>シンゴウ</t>
    </rPh>
    <rPh sb="17" eb="19">
      <t>ゲダン</t>
    </rPh>
    <rPh sb="20" eb="23">
      <t>ハンソウハ</t>
    </rPh>
    <phoneticPr fontId="2"/>
  </si>
  <si>
    <r>
      <t>600</t>
    </r>
    <r>
      <rPr>
        <sz val="11"/>
        <color theme="1"/>
        <rFont val="Calibri"/>
        <family val="3"/>
        <charset val="161"/>
      </rPr>
      <t>Ω</t>
    </r>
    <r>
      <rPr>
        <sz val="11"/>
        <color theme="1"/>
        <rFont val="BIZ UDPゴシック"/>
        <family val="3"/>
        <charset val="128"/>
      </rPr>
      <t>アナログ信号</t>
    </r>
    <rPh sb="8" eb="10">
      <t>シンゴウ</t>
    </rPh>
    <phoneticPr fontId="2"/>
  </si>
  <si>
    <t>デジタル波形データ</t>
    <rPh sb="4" eb="6">
      <t>ハケイ</t>
    </rPh>
    <phoneticPr fontId="2"/>
  </si>
  <si>
    <t>デジタル音声符号</t>
    <rPh sb="4" eb="6">
      <t>オンセイ</t>
    </rPh>
    <rPh sb="6" eb="8">
      <t>フゴウ</t>
    </rPh>
    <phoneticPr fontId="2"/>
  </si>
  <si>
    <t>HighZ
アナログ信号</t>
    <rPh sb="10" eb="12">
      <t>シンゴウ</t>
    </rPh>
    <phoneticPr fontId="2"/>
  </si>
  <si>
    <r>
      <t>50</t>
    </r>
    <r>
      <rPr>
        <sz val="11"/>
        <rFont val="Calibri"/>
        <family val="3"/>
        <charset val="161"/>
      </rPr>
      <t xml:space="preserve">Ω
</t>
    </r>
    <r>
      <rPr>
        <sz val="11"/>
        <rFont val="BIZ UDPゴシック"/>
        <family val="3"/>
        <charset val="128"/>
      </rPr>
      <t>アナログ信号</t>
    </r>
    <rPh sb="8" eb="10">
      <t>シンゴウ</t>
    </rPh>
    <phoneticPr fontId="2"/>
  </si>
  <si>
    <t>電磁波
(EIRP）</t>
    <rPh sb="0" eb="3">
      <t>デンジハ</t>
    </rPh>
    <phoneticPr fontId="2"/>
  </si>
  <si>
    <t>電力※</t>
    <rPh sb="0" eb="2">
      <t>デンリョク</t>
    </rPh>
    <phoneticPr fontId="2"/>
  </si>
  <si>
    <t>デジタル振幅・符号</t>
    <rPh sb="4" eb="6">
      <t>シンプク</t>
    </rPh>
    <rPh sb="7" eb="9">
      <t>フゴウ</t>
    </rPh>
    <phoneticPr fontId="2"/>
  </si>
  <si>
    <t>電圧</t>
    <rPh sb="0" eb="2">
      <t>デンアツ</t>
    </rPh>
    <phoneticPr fontId="2"/>
  </si>
  <si>
    <t>電力</t>
    <rPh sb="0" eb="2">
      <t>デンリョク</t>
    </rPh>
    <phoneticPr fontId="2"/>
  </si>
  <si>
    <r>
      <t>※600</t>
    </r>
    <r>
      <rPr>
        <sz val="10"/>
        <color theme="1"/>
        <rFont val="Calibri"/>
        <family val="3"/>
        <charset val="161"/>
      </rPr>
      <t>Ω</t>
    </r>
    <r>
      <rPr>
        <sz val="10"/>
        <color theme="1"/>
        <rFont val="BIZ UDPゴシック"/>
        <family val="3"/>
        <charset val="128"/>
      </rPr>
      <t>系のレベルは電圧（dB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BIZ UDPゴシック"/>
        <family val="3"/>
        <charset val="128"/>
      </rPr>
      <t>V）で表記</t>
    </r>
    <rPh sb="5" eb="6">
      <t>ケイ</t>
    </rPh>
    <rPh sb="11" eb="13">
      <t>デンアツ</t>
    </rPh>
    <rPh sb="20" eb="22">
      <t>ヒョウキ</t>
    </rPh>
    <phoneticPr fontId="2"/>
  </si>
  <si>
    <t>－</t>
  </si>
  <si>
    <t>CMOS
クロック</t>
    <phoneticPr fontId="2"/>
  </si>
  <si>
    <t>－</t>
    <phoneticPr fontId="2"/>
  </si>
  <si>
    <t>デジタル制御
信号(情報)</t>
    <rPh sb="4" eb="6">
      <t>セイギョ</t>
    </rPh>
    <rPh sb="7" eb="9">
      <t>シンゴウ</t>
    </rPh>
    <rPh sb="10" eb="12">
      <t>ジョウホウ</t>
    </rPh>
    <phoneticPr fontId="2"/>
  </si>
  <si>
    <t>バック
オフ</t>
  </si>
  <si>
    <t>[dB]</t>
    <phoneticPr fontId="2"/>
  </si>
  <si>
    <t>利得</t>
    <rPh sb="0" eb="2">
      <t>リトク</t>
    </rPh>
    <phoneticPr fontId="2"/>
  </si>
  <si>
    <t>[dB]</t>
  </si>
  <si>
    <t>-</t>
    <phoneticPr fontId="2"/>
  </si>
  <si>
    <t>レベル</t>
  </si>
  <si>
    <r>
      <t>[dB</t>
    </r>
    <r>
      <rPr>
        <b/>
        <sz val="10"/>
        <color theme="1"/>
        <rFont val="Calibri"/>
        <family val="3"/>
        <charset val="161"/>
      </rPr>
      <t>μ</t>
    </r>
    <r>
      <rPr>
        <b/>
        <sz val="10"/>
        <color theme="1"/>
        <rFont val="BIZ UDPゴシック"/>
        <family val="3"/>
        <charset val="128"/>
      </rPr>
      <t>V]</t>
    </r>
  </si>
  <si>
    <t>[dBFS]</t>
  </si>
  <si>
    <t>[dBm]</t>
  </si>
  <si>
    <t>マイクロホン基準レベル</t>
    <rPh sb="6" eb="8">
      <t>キジュン</t>
    </rPh>
    <phoneticPr fontId="2"/>
  </si>
  <si>
    <t>音圧</t>
    <rPh sb="0" eb="2">
      <t>オンアツ</t>
    </rPh>
    <phoneticPr fontId="2"/>
  </si>
  <si>
    <t>等価雑音</t>
    <rPh sb="0" eb="2">
      <t>トウカ</t>
    </rPh>
    <rPh sb="2" eb="4">
      <t>ザツオン</t>
    </rPh>
    <phoneticPr fontId="2"/>
  </si>
  <si>
    <t>マイク感度</t>
    <rPh sb="3" eb="5">
      <t>カンド</t>
    </rPh>
    <phoneticPr fontId="2"/>
  </si>
  <si>
    <t>端子電圧</t>
    <rPh sb="0" eb="2">
      <t>タンシ</t>
    </rPh>
    <rPh sb="2" eb="4">
      <t>デンアツ</t>
    </rPh>
    <phoneticPr fontId="2"/>
  </si>
  <si>
    <t>SNR</t>
    <phoneticPr fontId="2"/>
  </si>
  <si>
    <t>マイクロホン雑音レベル</t>
    <rPh sb="6" eb="8">
      <t>ザツオン</t>
    </rPh>
    <phoneticPr fontId="2"/>
  </si>
  <si>
    <t>熱雑音</t>
    <rPh sb="0" eb="1">
      <t>ネツ</t>
    </rPh>
    <rPh sb="1" eb="3">
      <t>ザツオン</t>
    </rPh>
    <phoneticPr fontId="2"/>
  </si>
  <si>
    <r>
      <t>[dB</t>
    </r>
    <r>
      <rPr>
        <sz val="10"/>
        <color theme="1"/>
        <rFont val="Calibri"/>
        <family val="3"/>
        <charset val="161"/>
      </rPr>
      <t>μ</t>
    </r>
    <r>
      <rPr>
        <sz val="10"/>
        <color theme="1"/>
        <rFont val="BIZ UDPゴシック"/>
        <family val="3"/>
        <charset val="128"/>
      </rPr>
      <t>V]</t>
    </r>
  </si>
  <si>
    <t>位相雑音</t>
    <rPh sb="0" eb="2">
      <t>イソウ</t>
    </rPh>
    <rPh sb="2" eb="4">
      <t>ザツオン</t>
    </rPh>
    <phoneticPr fontId="2"/>
  </si>
  <si>
    <t>マイクロホン最大レベル</t>
    <rPh sb="6" eb="8">
      <t>サイダイ</t>
    </rPh>
    <phoneticPr fontId="2"/>
  </si>
  <si>
    <t>[dBc]</t>
  </si>
  <si>
    <t>IM3</t>
  </si>
  <si>
    <t>bit幅</t>
    <rPh sb="3" eb="4">
      <t>ハバ</t>
    </rPh>
    <phoneticPr fontId="2"/>
  </si>
  <si>
    <t>量子化雑音</t>
    <rPh sb="0" eb="2">
      <t>リョウシ</t>
    </rPh>
    <rPh sb="2" eb="3">
      <t>カ</t>
    </rPh>
    <rPh sb="3" eb="5">
      <t>ザツオン</t>
    </rPh>
    <phoneticPr fontId="2"/>
  </si>
  <si>
    <t>[dBFS]</t>
    <phoneticPr fontId="2"/>
  </si>
  <si>
    <t>Thermal noise calcurator</t>
  </si>
  <si>
    <t>Bw</t>
    <phoneticPr fontId="2"/>
  </si>
  <si>
    <t>[kHz]</t>
    <phoneticPr fontId="2"/>
  </si>
  <si>
    <t>NF[dB]</t>
  </si>
  <si>
    <t>Templatuer</t>
  </si>
  <si>
    <t>deg</t>
  </si>
  <si>
    <t>K</t>
  </si>
  <si>
    <r>
      <t>P</t>
    </r>
    <r>
      <rPr>
        <vertAlign val="subscript"/>
        <sz val="11"/>
        <color theme="1"/>
        <rFont val="BIZ UDPゴシック"/>
        <family val="3"/>
        <charset val="128"/>
      </rPr>
      <t>SAT</t>
    </r>
    <phoneticPr fontId="2"/>
  </si>
  <si>
    <t>Band width</t>
  </si>
  <si>
    <t>kHz</t>
  </si>
  <si>
    <t>Hz</t>
  </si>
  <si>
    <t>k</t>
  </si>
  <si>
    <t>J/K</t>
  </si>
  <si>
    <r>
      <t>OP</t>
    </r>
    <r>
      <rPr>
        <vertAlign val="subscript"/>
        <sz val="11"/>
        <color theme="1"/>
        <rFont val="BIZ UDPゴシック"/>
        <family val="3"/>
        <charset val="128"/>
      </rPr>
      <t>1dB</t>
    </r>
  </si>
  <si>
    <t>Thermal noise</t>
  </si>
  <si>
    <t>W/Hz</t>
  </si>
  <si>
    <t>dBm/Hz</t>
  </si>
  <si>
    <r>
      <t>IP</t>
    </r>
    <r>
      <rPr>
        <vertAlign val="subscript"/>
        <sz val="11"/>
        <color theme="1"/>
        <rFont val="BIZ UDPゴシック"/>
        <family val="3"/>
        <charset val="128"/>
      </rPr>
      <t>1dB</t>
    </r>
    <phoneticPr fontId="2"/>
  </si>
  <si>
    <t>W</t>
  </si>
  <si>
    <t>dBm</t>
  </si>
  <si>
    <t>背景
熱雑音</t>
    <rPh sb="0" eb="2">
      <t>ハイケイ</t>
    </rPh>
    <rPh sb="3" eb="4">
      <t>ネツ</t>
    </rPh>
    <rPh sb="4" eb="6">
      <t>ザツオン</t>
    </rPh>
    <phoneticPr fontId="2"/>
  </si>
  <si>
    <t>[dBuV]</t>
    <phoneticPr fontId="2"/>
  </si>
  <si>
    <t>[dBm]</t>
    <phoneticPr fontId="2"/>
  </si>
  <si>
    <t>①’コーデック
（エンコーダ）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</si>
</sst>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_ "/>
    <numFmt numFmtId="178" formatCode="General&quot;dB&quot;"/>
    <numFmt numFmtId="179" formatCode="General&quot;ubar&quot;"/>
    <numFmt numFmtId="180" formatCode="General&quot;Pa&quot;"/>
    <numFmt numFmtId="181" formatCode="General&quot;V&quot;"/>
    <numFmt numFmtId="182" formatCode="General&quot;dBuV&quot;"/>
    <numFmt numFmtId="183" formatCode="0.00_ 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Calibri"/>
      <family val="3"/>
      <charset val="161"/>
    </font>
    <font>
      <sz val="11"/>
      <name val="BIZ UDPゴシック"/>
      <family val="3"/>
      <charset val="128"/>
    </font>
    <font>
      <sz val="11"/>
      <name val="Calibri"/>
      <family val="3"/>
      <charset val="161"/>
    </font>
    <font>
      <sz val="10"/>
      <color theme="1"/>
      <name val="Calibri"/>
      <family val="3"/>
      <charset val="161"/>
    </font>
    <font>
      <sz val="10"/>
      <color theme="1"/>
      <name val="Symbol"/>
      <family val="1"/>
      <charset val="2"/>
    </font>
    <font>
      <sz val="1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theme="1"/>
      <name val="Calibri"/>
      <family val="3"/>
      <charset val="161"/>
    </font>
    <font>
      <b/>
      <i/>
      <sz val="8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i/>
      <sz val="8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i/>
      <sz val="9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name val="明朝"/>
      <family val="1"/>
      <charset val="128"/>
    </font>
    <font>
      <sz val="11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vertAlign val="subscript"/>
      <sz val="11"/>
      <color theme="1"/>
      <name val="BIZ UDPゴシック"/>
      <family val="3"/>
      <charset val="128"/>
    </font>
    <font>
      <i/>
      <sz val="8"/>
      <color theme="1"/>
      <name val="BIZ UDPゴシック"/>
      <family val="3"/>
      <charset val="128"/>
    </font>
    <font>
      <i/>
      <sz val="10"/>
      <color theme="0" tint="-0.3499862666707357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2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3" borderId="19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vertical="center" wrapText="1"/>
    </xf>
    <xf numFmtId="0" fontId="7" fillId="11" borderId="19" xfId="0" applyFont="1" applyFill="1" applyBorder="1" applyAlignment="1">
      <alignment vertical="center" wrapText="1"/>
    </xf>
    <xf numFmtId="0" fontId="1" fillId="13" borderId="25" xfId="0" applyFont="1" applyFill="1" applyBorder="1" applyAlignment="1">
      <alignment horizontal="centerContinuous" vertical="center" wrapText="1"/>
    </xf>
    <xf numFmtId="0" fontId="1" fillId="13" borderId="26" xfId="0" applyFont="1" applyFill="1" applyBorder="1" applyAlignment="1">
      <alignment horizontal="centerContinuous" vertical="center" wrapText="1"/>
    </xf>
    <xf numFmtId="0" fontId="1" fillId="13" borderId="16" xfId="0" applyFont="1" applyFill="1" applyBorder="1" applyAlignment="1">
      <alignment horizontal="centerContinuous" vertical="center" wrapText="1"/>
    </xf>
    <xf numFmtId="0" fontId="7" fillId="13" borderId="19" xfId="0" applyFont="1" applyFill="1" applyBorder="1" applyAlignment="1">
      <alignment horizontal="centerContinuous" vertical="center" wrapText="1"/>
    </xf>
    <xf numFmtId="0" fontId="1" fillId="13" borderId="20" xfId="0" applyFont="1" applyFill="1" applyBorder="1" applyAlignment="1">
      <alignment horizontal="centerContinuous" vertical="center" wrapText="1"/>
    </xf>
    <xf numFmtId="0" fontId="7" fillId="13" borderId="17" xfId="0" applyFont="1" applyFill="1" applyBorder="1" applyAlignment="1">
      <alignment horizontal="centerContinuous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1" fillId="17" borderId="25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15" borderId="25" xfId="0" applyFont="1" applyFill="1" applyBorder="1" applyAlignment="1">
      <alignment horizontal="center" vertical="center" wrapText="1"/>
    </xf>
    <xf numFmtId="0" fontId="11" fillId="17" borderId="3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17" borderId="2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vertical="center" shrinkToFit="1"/>
    </xf>
    <xf numFmtId="176" fontId="5" fillId="0" borderId="24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horizontal="center" vertical="center" shrinkToFit="1"/>
    </xf>
    <xf numFmtId="176" fontId="5" fillId="0" borderId="33" xfId="0" applyNumberFormat="1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7" fontId="5" fillId="0" borderId="35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0" fontId="12" fillId="11" borderId="2" xfId="0" applyFont="1" applyFill="1" applyBorder="1" applyAlignment="1">
      <alignment horizontal="center" vertical="center" wrapText="1"/>
    </xf>
    <xf numFmtId="176" fontId="12" fillId="11" borderId="1" xfId="0" applyNumberFormat="1" applyFont="1" applyFill="1" applyBorder="1" applyAlignment="1">
      <alignment horizontal="center" vertical="center" shrinkToFit="1"/>
    </xf>
    <xf numFmtId="176" fontId="12" fillId="11" borderId="3" xfId="0" applyNumberFormat="1" applyFont="1" applyFill="1" applyBorder="1" applyAlignment="1">
      <alignment horizontal="center" vertical="center" shrinkToFit="1"/>
    </xf>
    <xf numFmtId="176" fontId="14" fillId="11" borderId="41" xfId="0" applyNumberFormat="1" applyFont="1" applyFill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5" fillId="14" borderId="4" xfId="0" applyNumberFormat="1" applyFont="1" applyFill="1" applyBorder="1" applyAlignment="1">
      <alignment horizontal="center" vertical="center" shrinkToFit="1"/>
    </xf>
    <xf numFmtId="176" fontId="16" fillId="14" borderId="3" xfId="0" applyNumberFormat="1" applyFont="1" applyFill="1" applyBorder="1" applyAlignment="1">
      <alignment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6" fillId="14" borderId="3" xfId="0" applyNumberFormat="1" applyFont="1" applyFill="1" applyBorder="1" applyAlignment="1">
      <alignment horizontal="center" vertical="center" shrinkToFit="1"/>
    </xf>
    <xf numFmtId="176" fontId="15" fillId="14" borderId="3" xfId="0" applyNumberFormat="1" applyFont="1" applyFill="1" applyBorder="1" applyAlignment="1">
      <alignment horizontal="center" vertical="center" shrinkToFit="1"/>
    </xf>
    <xf numFmtId="176" fontId="16" fillId="14" borderId="2" xfId="0" applyNumberFormat="1" applyFont="1" applyFill="1" applyBorder="1" applyAlignment="1">
      <alignment horizontal="center" vertical="center" shrinkToFit="1"/>
    </xf>
    <xf numFmtId="176" fontId="12" fillId="11" borderId="2" xfId="0" applyNumberFormat="1" applyFont="1" applyFill="1" applyBorder="1" applyAlignment="1">
      <alignment horizontal="center" vertical="center" shrinkToFit="1"/>
    </xf>
    <xf numFmtId="0" fontId="12" fillId="13" borderId="36" xfId="0" applyFont="1" applyFill="1" applyBorder="1" applyAlignment="1">
      <alignment horizontal="center" vertical="center" wrapText="1"/>
    </xf>
    <xf numFmtId="176" fontId="12" fillId="0" borderId="40" xfId="0" applyNumberFormat="1" applyFont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horizontal="center" vertical="center" shrinkToFit="1"/>
    </xf>
    <xf numFmtId="176" fontId="12" fillId="13" borderId="25" xfId="0" applyNumberFormat="1" applyFont="1" applyFill="1" applyBorder="1" applyAlignment="1">
      <alignment horizontal="center" vertical="center" shrinkToFit="1"/>
    </xf>
    <xf numFmtId="176" fontId="12" fillId="13" borderId="27" xfId="0" applyNumberFormat="1" applyFont="1" applyFill="1" applyBorder="1" applyAlignment="1">
      <alignment horizontal="center" vertical="center" shrinkToFit="1"/>
    </xf>
    <xf numFmtId="176" fontId="12" fillId="13" borderId="40" xfId="0" applyNumberFormat="1" applyFont="1" applyFill="1" applyBorder="1" applyAlignment="1">
      <alignment horizontal="center" vertical="center" shrinkToFit="1"/>
    </xf>
    <xf numFmtId="176" fontId="14" fillId="13" borderId="25" xfId="0" applyNumberFormat="1" applyFont="1" applyFill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vertical="center" shrinkToFit="1"/>
    </xf>
    <xf numFmtId="176" fontId="12" fillId="0" borderId="24" xfId="0" applyNumberFormat="1" applyFont="1" applyBorder="1" applyAlignment="1">
      <alignment horizontal="center" vertical="center" shrinkToFit="1"/>
    </xf>
    <xf numFmtId="176" fontId="12" fillId="13" borderId="36" xfId="0" applyNumberFormat="1" applyFont="1" applyFill="1" applyBorder="1" applyAlignment="1">
      <alignment horizontal="center" vertical="center" shrinkToFit="1"/>
    </xf>
    <xf numFmtId="176" fontId="14" fillId="13" borderId="24" xfId="0" applyNumberFormat="1" applyFont="1" applyFill="1" applyBorder="1" applyAlignment="1">
      <alignment horizontal="center" vertical="center" shrinkToFit="1"/>
    </xf>
    <xf numFmtId="176" fontId="12" fillId="0" borderId="36" xfId="0" applyNumberFormat="1" applyFont="1" applyBorder="1" applyAlignment="1">
      <alignment horizontal="center" vertical="center" shrinkToFit="1"/>
    </xf>
    <xf numFmtId="0" fontId="12" fillId="15" borderId="12" xfId="0" applyFont="1" applyFill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4" fillId="0" borderId="10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15" borderId="10" xfId="0" applyNumberFormat="1" applyFont="1" applyFill="1" applyBorder="1" applyAlignment="1">
      <alignment vertical="center" shrinkToFit="1"/>
    </xf>
    <xf numFmtId="176" fontId="12" fillId="15" borderId="13" xfId="0" applyNumberFormat="1" applyFont="1" applyFill="1" applyBorder="1" applyAlignment="1">
      <alignment horizontal="center" vertical="center" shrinkToFit="1"/>
    </xf>
    <xf numFmtId="176" fontId="12" fillId="15" borderId="10" xfId="0" applyNumberFormat="1" applyFont="1" applyFill="1" applyBorder="1" applyAlignment="1">
      <alignment horizontal="center" vertical="center" shrinkToFit="1"/>
    </xf>
    <xf numFmtId="177" fontId="12" fillId="15" borderId="10" xfId="0" applyNumberFormat="1" applyFont="1" applyFill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4" fillId="0" borderId="12" xfId="0" applyNumberFormat="1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178" fontId="1" fillId="0" borderId="25" xfId="0" applyNumberFormat="1" applyFont="1" applyBorder="1">
      <alignment vertical="center"/>
    </xf>
    <xf numFmtId="179" fontId="1" fillId="0" borderId="25" xfId="0" applyNumberFormat="1" applyFont="1" applyBorder="1">
      <alignment vertical="center"/>
    </xf>
    <xf numFmtId="180" fontId="1" fillId="0" borderId="25" xfId="0" applyNumberFormat="1" applyFont="1" applyBorder="1">
      <alignment vertical="center"/>
    </xf>
    <xf numFmtId="0" fontId="1" fillId="0" borderId="25" xfId="0" applyFont="1" applyBorder="1">
      <alignment vertical="center"/>
    </xf>
    <xf numFmtId="181" fontId="1" fillId="0" borderId="25" xfId="0" applyNumberFormat="1" applyFont="1" applyBorder="1">
      <alignment vertical="center"/>
    </xf>
    <xf numFmtId="182" fontId="1" fillId="0" borderId="25" xfId="0" applyNumberFormat="1" applyFont="1" applyBorder="1">
      <alignment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183" fontId="19" fillId="0" borderId="44" xfId="0" applyNumberFormat="1" applyFont="1" applyBorder="1" applyAlignment="1">
      <alignment horizontal="center" vertical="center" wrapText="1"/>
    </xf>
    <xf numFmtId="176" fontId="17" fillId="0" borderId="44" xfId="0" applyNumberFormat="1" applyFont="1" applyBorder="1" applyAlignment="1">
      <alignment horizontal="center" vertical="center" wrapText="1"/>
    </xf>
    <xf numFmtId="176" fontId="17" fillId="0" borderId="43" xfId="0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vertical="center" shrinkToFit="1"/>
    </xf>
    <xf numFmtId="176" fontId="5" fillId="0" borderId="36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 shrinkToFit="1"/>
    </xf>
    <xf numFmtId="0" fontId="21" fillId="0" borderId="0" xfId="1" applyFont="1"/>
    <xf numFmtId="0" fontId="20" fillId="0" borderId="0" xfId="1"/>
    <xf numFmtId="0" fontId="1" fillId="0" borderId="40" xfId="0" applyFont="1" applyBorder="1" applyAlignment="1">
      <alignment horizontal="center" vertical="center"/>
    </xf>
    <xf numFmtId="0" fontId="21" fillId="0" borderId="0" xfId="1" applyFont="1" applyAlignment="1">
      <alignment horizontal="right"/>
    </xf>
    <xf numFmtId="0" fontId="22" fillId="0" borderId="48" xfId="1" applyFont="1" applyBorder="1"/>
    <xf numFmtId="0" fontId="23" fillId="0" borderId="0" xfId="1" applyFont="1"/>
    <xf numFmtId="176" fontId="22" fillId="0" borderId="0" xfId="1" applyNumberFormat="1" applyFont="1"/>
    <xf numFmtId="176" fontId="25" fillId="0" borderId="25" xfId="0" applyNumberFormat="1" applyFont="1" applyBorder="1" applyAlignment="1">
      <alignment horizontal="center" vertical="center" shrinkToFit="1"/>
    </xf>
    <xf numFmtId="176" fontId="25" fillId="0" borderId="40" xfId="0" applyNumberFormat="1" applyFont="1" applyBorder="1" applyAlignment="1">
      <alignment horizontal="center" vertical="center" shrinkToFit="1"/>
    </xf>
    <xf numFmtId="176" fontId="25" fillId="0" borderId="27" xfId="0" applyNumberFormat="1" applyFont="1" applyBorder="1" applyAlignment="1">
      <alignment horizontal="center" vertical="center" shrinkToFit="1"/>
    </xf>
    <xf numFmtId="176" fontId="25" fillId="0" borderId="36" xfId="0" applyNumberFormat="1" applyFont="1" applyBorder="1" applyAlignment="1">
      <alignment horizontal="center" vertical="center" shrinkToFit="1"/>
    </xf>
    <xf numFmtId="0" fontId="22" fillId="0" borderId="0" xfId="1" applyFont="1"/>
    <xf numFmtId="0" fontId="23" fillId="0" borderId="0" xfId="1" applyFont="1" applyAlignment="1">
      <alignment horizontal="right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26" fillId="0" borderId="10" xfId="0" applyNumberFormat="1" applyFont="1" applyBorder="1" applyAlignment="1">
      <alignment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26" fillId="0" borderId="10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25" fillId="0" borderId="3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vertical="center" shrinkToFit="1"/>
    </xf>
    <xf numFmtId="176" fontId="2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176" fontId="25" fillId="0" borderId="10" xfId="0" applyNumberFormat="1" applyFont="1" applyBorder="1" applyAlignment="1">
      <alignment horizontal="center" vertical="center" shrinkToFit="1"/>
    </xf>
    <xf numFmtId="176" fontId="25" fillId="0" borderId="12" xfId="0" applyNumberFormat="1" applyFont="1" applyBorder="1" applyAlignment="1">
      <alignment horizontal="center" vertical="center" shrinkToFit="1"/>
    </xf>
    <xf numFmtId="176" fontId="27" fillId="0" borderId="12" xfId="0" applyNumberFormat="1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7" fillId="15" borderId="27" xfId="0" applyFont="1" applyFill="1" applyBorder="1" applyAlignment="1">
      <alignment horizontal="center" vertical="center" wrapText="1"/>
    </xf>
    <xf numFmtId="0" fontId="7" fillId="15" borderId="28" xfId="0" applyFont="1" applyFill="1" applyBorder="1" applyAlignment="1">
      <alignment horizontal="center" vertical="center" wrapText="1"/>
    </xf>
    <xf numFmtId="0" fontId="7" fillId="15" borderId="2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1C5A07F2-33B8-4916-B0FA-A9C62F82C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無線区間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1856581216726"/>
          <c:y val="7.084295885093353E-2"/>
          <c:w val="0.76993102948175596"/>
          <c:h val="0.81686319225888904"/>
        </c:manualLayout>
      </c:layout>
      <c:lineChart>
        <c:grouping val="standard"/>
        <c:varyColors val="0"/>
        <c:ser>
          <c:idx val="3"/>
          <c:order val="3"/>
          <c:tx>
            <c:strRef>
              <c:f>第19話!$F$61:$G$61</c:f>
              <c:strCache>
                <c:ptCount val="2"/>
                <c:pt idx="0">
                  <c:v>レベル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4576634840376225E-2"/>
                  <c:y val="-1.3033239451982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第19話!$M$61:$Z$61</c:f>
              <c:numCache>
                <c:formatCode>0.0_ </c:formatCode>
                <c:ptCount val="14"/>
                <c:pt idx="1">
                  <c:v>-4.9899999999999949</c:v>
                </c:pt>
                <c:pt idx="2">
                  <c:v>-24.989999999999995</c:v>
                </c:pt>
                <c:pt idx="3">
                  <c:v>5.0100000000000051</c:v>
                </c:pt>
                <c:pt idx="4">
                  <c:v>35.010000000000005</c:v>
                </c:pt>
                <c:pt idx="5">
                  <c:v>29.010000000000005</c:v>
                </c:pt>
                <c:pt idx="6">
                  <c:v>31.160000000000004</c:v>
                </c:pt>
                <c:pt idx="7" formatCode="0_ ">
                  <c:v>-111.84</c:v>
                </c:pt>
                <c:pt idx="8">
                  <c:v>-109.69</c:v>
                </c:pt>
                <c:pt idx="9">
                  <c:v>-111.69</c:v>
                </c:pt>
                <c:pt idx="10">
                  <c:v>-71.69</c:v>
                </c:pt>
                <c:pt idx="11">
                  <c:v>-91.69</c:v>
                </c:pt>
                <c:pt idx="12">
                  <c:v>-41.69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7-4294-B6E6-95778A03AB1D}"/>
            </c:ext>
          </c:extLst>
        </c:ser>
        <c:ser>
          <c:idx val="7"/>
          <c:order val="7"/>
          <c:tx>
            <c:strRef>
              <c:f>第19話!$F$64:$G$64</c:f>
              <c:strCache>
                <c:ptCount val="2"/>
                <c:pt idx="0">
                  <c:v>等価雑音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2.1055139213876854E-2"/>
                  <c:y val="-2.9790261604531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第19話!$M$64:$Z$64</c:f>
              <c:numCache>
                <c:formatCode>0.0_ </c:formatCode>
                <c:ptCount val="14"/>
                <c:pt idx="1">
                  <c:v>-46.510626643559299</c:v>
                </c:pt>
                <c:pt idx="2">
                  <c:v>-65.917140822142755</c:v>
                </c:pt>
                <c:pt idx="3">
                  <c:v>-35.916382645857688</c:v>
                </c:pt>
                <c:pt idx="4">
                  <c:v>10.11956112826806</c:v>
                </c:pt>
                <c:pt idx="5">
                  <c:v>4.1195611282680602</c:v>
                </c:pt>
                <c:pt idx="6">
                  <c:v>6.2695611282680606</c:v>
                </c:pt>
                <c:pt idx="7" formatCode="0_ ">
                  <c:v>-136.73043887173193</c:v>
                </c:pt>
                <c:pt idx="8">
                  <c:v>-134.58043887173193</c:v>
                </c:pt>
                <c:pt idx="9">
                  <c:v>-136.58043887173193</c:v>
                </c:pt>
                <c:pt idx="10">
                  <c:v>-89.828432999354817</c:v>
                </c:pt>
                <c:pt idx="11">
                  <c:v>-109.80848180284309</c:v>
                </c:pt>
                <c:pt idx="12">
                  <c:v>-59.640864055520346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17-4294-B6E6-95778A03AB1D}"/>
            </c:ext>
          </c:extLst>
        </c:ser>
        <c:ser>
          <c:idx val="10"/>
          <c:order val="10"/>
          <c:tx>
            <c:strRef>
              <c:f>第19話!$F$68:$G$68</c:f>
              <c:strCache>
                <c:ptCount val="2"/>
                <c:pt idx="0">
                  <c:v>熱雑音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7815887027126567E-2"/>
                  <c:y val="1.861891350283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第19話!$M$68:$Z$68</c:f>
              <c:numCache>
                <c:formatCode>0.0_ </c:formatCode>
                <c:ptCount val="14"/>
                <c:pt idx="0">
                  <c:v>-103.85904649522507</c:v>
                </c:pt>
                <c:pt idx="1">
                  <c:v>-103.85904649522507</c:v>
                </c:pt>
                <c:pt idx="2">
                  <c:v>-113.85904649522507</c:v>
                </c:pt>
                <c:pt idx="3">
                  <c:v>-78.859046495225073</c:v>
                </c:pt>
                <c:pt idx="4">
                  <c:v>-78.859046495225073</c:v>
                </c:pt>
                <c:pt idx="10">
                  <c:v>-90.859046495225073</c:v>
                </c:pt>
                <c:pt idx="11">
                  <c:v>-133.85904649522507</c:v>
                </c:pt>
                <c:pt idx="12">
                  <c:v>-73.859046495225073</c:v>
                </c:pt>
                <c:pt idx="13">
                  <c:v>-117.85904649522507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17-4294-B6E6-95778A03AB1D}"/>
            </c:ext>
          </c:extLst>
        </c:ser>
        <c:ser>
          <c:idx val="13"/>
          <c:order val="13"/>
          <c:tx>
            <c:strRef>
              <c:f>第19話!$F$71:$G$71</c:f>
              <c:strCache>
                <c:ptCount val="2"/>
                <c:pt idx="0">
                  <c:v>位相雑音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5587406633098129E-2"/>
                  <c:y val="3.8820752633759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第19話!$M$71:$Z$71</c:f>
              <c:numCache>
                <c:formatCode>0.0_ </c:formatCode>
                <c:ptCount val="14"/>
                <c:pt idx="1">
                  <c:v>-54.989999999999995</c:v>
                </c:pt>
                <c:pt idx="2">
                  <c:v>-74.989999999999995</c:v>
                </c:pt>
                <c:pt idx="11">
                  <c:v>-141.69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17-4294-B6E6-95778A03AB1D}"/>
            </c:ext>
          </c:extLst>
        </c:ser>
        <c:ser>
          <c:idx val="16"/>
          <c:order val="16"/>
          <c:tx>
            <c:strRef>
              <c:f>第19話!$F$74:$G$74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133738265362594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第19話!$M$74:$Z$74</c:f>
              <c:numCache>
                <c:formatCode>0.0_ </c:formatCode>
                <c:ptCount val="14"/>
                <c:pt idx="2">
                  <c:v>-89.99</c:v>
                </c:pt>
                <c:pt idx="3">
                  <c:v>-74.989999999999995</c:v>
                </c:pt>
                <c:pt idx="4">
                  <c:v>10.010000000000005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17-4294-B6E6-95778A03AB1D}"/>
            </c:ext>
          </c:extLst>
        </c:ser>
        <c:ser>
          <c:idx val="23"/>
          <c:order val="23"/>
          <c:tx>
            <c:strRef>
              <c:f>第19話!$F$81:$G$81</c:f>
              <c:strCache>
                <c:ptCount val="2"/>
                <c:pt idx="0">
                  <c:v>OP1dB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9435513120501652E-2"/>
                  <c:y val="-2.2342696203398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第19話!$M$81:$Z$81</c:f>
              <c:numCache>
                <c:formatCode>0.0_ </c:formatCode>
                <c:ptCount val="14"/>
                <c:pt idx="1">
                  <c:v>10</c:v>
                </c:pt>
                <c:pt idx="3">
                  <c:v>20</c:v>
                </c:pt>
                <c:pt idx="4">
                  <c:v>43</c:v>
                </c:pt>
                <c:pt idx="10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17-4294-B6E6-95778A03AB1D}"/>
            </c:ext>
          </c:extLst>
        </c:ser>
        <c:ser>
          <c:idx val="24"/>
          <c:order val="24"/>
          <c:tx>
            <c:strRef>
              <c:f>第19話!$F$82:$G$82</c:f>
              <c:strCache>
                <c:ptCount val="2"/>
                <c:pt idx="0">
                  <c:v>IP1dB</c:v>
                </c:pt>
                <c:pt idx="1">
                  <c:v>[dBm]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177565602508259E-3"/>
                  <c:y val="3.1652152954814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第19話!$M$82:$Z$82</c:f>
              <c:numCache>
                <c:formatCode>0.0_ </c:formatCode>
                <c:ptCount val="14"/>
                <c:pt idx="1">
                  <c:v>5</c:v>
                </c:pt>
                <c:pt idx="2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17-4294-B6E6-95778A03AB1D}"/>
            </c:ext>
          </c:extLst>
        </c:ser>
        <c:ser>
          <c:idx val="25"/>
          <c:order val="25"/>
          <c:tx>
            <c:strRef>
              <c:f>第19話!$F$84:$G$84</c:f>
              <c:strCache>
                <c:ptCount val="2"/>
                <c:pt idx="0">
                  <c:v>背景
熱雑音</c:v>
                </c:pt>
                <c:pt idx="1">
                  <c:v>[dBm]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3165417641630597E-2"/>
                  <c:y val="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第19話!$M$84:$Z$84</c:f>
              <c:numCache>
                <c:formatCode>0.0_ </c:formatCode>
                <c:ptCount val="14"/>
                <c:pt idx="0">
                  <c:v>-133.85904649522507</c:v>
                </c:pt>
                <c:pt idx="1">
                  <c:v>-133.85904649522507</c:v>
                </c:pt>
                <c:pt idx="2">
                  <c:v>-133.85904649522507</c:v>
                </c:pt>
                <c:pt idx="3">
                  <c:v>-133.85904649522507</c:v>
                </c:pt>
                <c:pt idx="4">
                  <c:v>-133.85904649522507</c:v>
                </c:pt>
                <c:pt idx="5">
                  <c:v>-133.85904649522507</c:v>
                </c:pt>
                <c:pt idx="6">
                  <c:v>-133.85904649522507</c:v>
                </c:pt>
                <c:pt idx="7">
                  <c:v>-133.85904649522507</c:v>
                </c:pt>
                <c:pt idx="8">
                  <c:v>-133.85904649522507</c:v>
                </c:pt>
                <c:pt idx="9">
                  <c:v>-133.85904649522507</c:v>
                </c:pt>
                <c:pt idx="10">
                  <c:v>-133.85904649522507</c:v>
                </c:pt>
                <c:pt idx="11">
                  <c:v>-133.85904649522507</c:v>
                </c:pt>
                <c:pt idx="12">
                  <c:v>-133.85904649522507</c:v>
                </c:pt>
                <c:pt idx="13">
                  <c:v>-133.85904649522507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817-4294-B6E6-95778A03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第19話!$M$57:$Z$57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5.9794000867203749</c:v>
                      </c:pt>
                      <c:pt idx="1">
                        <c:v>14.989999999999995</c:v>
                      </c:pt>
                      <c:pt idx="2">
                        <c:v>9.9899999999999949</c:v>
                      </c:pt>
                      <c:pt idx="3">
                        <c:v>14.989999999999995</c:v>
                      </c:pt>
                      <c:pt idx="4">
                        <c:v>7.9899999999999949</c:v>
                      </c:pt>
                      <c:pt idx="10">
                        <c:v>81.69</c:v>
                      </c:pt>
                      <c:pt idx="11">
                        <c:v>71.69</c:v>
                      </c:pt>
                      <c:pt idx="12">
                        <c:v>51.69</c:v>
                      </c:pt>
                      <c:pt idx="13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B817-4294-B6E6-95778A03AB1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第19話!$F$60:$G$60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第19話!$M$60:$Z$60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-5.9794000867203749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817-4294-B6E6-95778A03AB1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第19話!$M$58:$Z$58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0</c:v>
                      </c:pt>
                      <c:pt idx="1">
                        <c:v>-6</c:v>
                      </c:pt>
                      <c:pt idx="2">
                        <c:v>-20</c:v>
                      </c:pt>
                      <c:pt idx="3">
                        <c:v>30</c:v>
                      </c:pt>
                      <c:pt idx="4">
                        <c:v>30</c:v>
                      </c:pt>
                      <c:pt idx="5">
                        <c:v>-6</c:v>
                      </c:pt>
                      <c:pt idx="6">
                        <c:v>2.15</c:v>
                      </c:pt>
                      <c:pt idx="7" formatCode="0_ ">
                        <c:v>-143</c:v>
                      </c:pt>
                      <c:pt idx="8">
                        <c:v>2.15</c:v>
                      </c:pt>
                      <c:pt idx="9">
                        <c:v>-2</c:v>
                      </c:pt>
                      <c:pt idx="10">
                        <c:v>40</c:v>
                      </c:pt>
                      <c:pt idx="11">
                        <c:v>-20</c:v>
                      </c:pt>
                      <c:pt idx="12">
                        <c:v>50</c:v>
                      </c:pt>
                      <c:pt idx="13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817-4294-B6E6-95778A03AB1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第19話!$F$63:$G$63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第19話!$M$63:$Z$63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-48.164789781845712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817-4294-B6E6-95778A03AB1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第19話!$F$67:$G$67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第19話!$M$67:$Z$67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817-4294-B6E6-95778A03AB1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第19話!$M$70:$Z$70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817-4294-B6E6-95778A03AB1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第19話!$M$72:$Z$72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100</c:v>
                      </c:pt>
                      <c:pt idx="1">
                        <c:v>50</c:v>
                      </c:pt>
                      <c:pt idx="2">
                        <c:v>50</c:v>
                      </c:pt>
                      <c:pt idx="11">
                        <c:v>50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B817-4294-B6E6-95778A03AB1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第19話!$M$73:$Z$73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B817-4294-B6E6-95778A03AB1D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第19話!$M$75:$Z$75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2">
                        <c:v>-65</c:v>
                      </c:pt>
                      <c:pt idx="3">
                        <c:v>-80</c:v>
                      </c:pt>
                      <c:pt idx="4">
                        <c:v>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817-4294-B6E6-95778A03AB1D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第19話!$M$76:$Z$76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B817-4294-B6E6-95778A03AB1D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第19話!$M$77:$Z$77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B817-4294-B6E6-95778A03AB1D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第19話!$M$78:$Z$78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10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817-4294-B6E6-95778A03AB1D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第19話!$M$79:$Z$79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25</c:v>
                      </c:pt>
                      <c:pt idx="10">
                        <c:v>3</c:v>
                      </c:pt>
                      <c:pt idx="11">
                        <c:v>20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B817-4294-B6E6-95778A03AB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53269680752568E-2"/>
                  <c:y val="6.5166197259911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第19話!$M$59:$Z$59</c:f>
              <c:numCache>
                <c:formatCode>0.0_ </c:formatCode>
                <c:ptCount val="14"/>
                <c:pt idx="0">
                  <c:v>108</c:v>
                </c:pt>
                <c:pt idx="1">
                  <c:v>102</c:v>
                </c:pt>
                <c:pt idx="12">
                  <c:v>65.3</c:v>
                </c:pt>
                <c:pt idx="1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817-4294-B6E6-95778A03AB1D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第19話!$M$62:$Z$62</c:f>
              <c:numCache>
                <c:formatCode>0.0_ </c:formatCode>
                <c:ptCount val="14"/>
                <c:pt idx="0">
                  <c:v>65.814610304874662</c:v>
                </c:pt>
                <c:pt idx="1">
                  <c:v>60.479373356440696</c:v>
                </c:pt>
                <c:pt idx="12">
                  <c:v>47.349135944479649</c:v>
                </c:pt>
                <c:pt idx="13">
                  <c:v>53.349195920508961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817-4294-B6E6-95778A03AB1D}"/>
            </c:ext>
          </c:extLst>
        </c:ser>
        <c:ser>
          <c:idx val="11"/>
          <c:order val="11"/>
          <c:tx>
            <c:strRef>
              <c:f>第19話!$F$69:$G$69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364545902515571E-2"/>
                  <c:y val="-5.30522753546038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17-4294-B6E6-95778A03AB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第19話!$M$69:$Z$69</c:f>
              <c:numCache>
                <c:formatCode>0.0_ </c:formatCode>
                <c:ptCount val="14"/>
                <c:pt idx="0">
                  <c:v>8</c:v>
                </c:pt>
                <c:pt idx="13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817-4294-B6E6-95778A03AB1D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4.65472837570798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817-4294-B6E6-95778A03AB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第19話!$M$80:$Z$80</c:f>
              <c:numCache>
                <c:formatCode>0.0_ </c:formatCode>
                <c:ptCount val="14"/>
                <c:pt idx="0">
                  <c:v>113.97940008672037</c:v>
                </c:pt>
                <c:pt idx="13">
                  <c:v>113.97940008672037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817-4294-B6E6-95778A03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第19話!$F$66:$G$66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第19話!$L$52:$Z$52</c15:sqref>
                        </c15:formulaRef>
                      </c:ext>
                    </c:extLst>
                    <c:strCache>
                      <c:ptCount val="15"/>
                      <c:pt idx="0">
                        <c:v>QPSK
波形
生成</c:v>
                      </c:pt>
                      <c:pt idx="1">
                        <c:v>DAC</c:v>
                      </c:pt>
                      <c:pt idx="2">
                        <c:v>I-Q
MOD</c:v>
                      </c:pt>
                      <c:pt idx="3">
                        <c:v>U/C</c:v>
                      </c:pt>
                      <c:pt idx="4">
                        <c:v>増幅</c:v>
                      </c:pt>
                      <c:pt idx="5">
                        <c:v>増幅</c:v>
                      </c:pt>
                      <c:pt idx="6">
                        <c:v>給電
回路</c:v>
                      </c:pt>
                      <c:pt idx="7">
                        <c:v>ANT</c:v>
                      </c:pt>
                      <c:pt idx="8">
                        <c:v>AIR</c:v>
                      </c:pt>
                      <c:pt idx="9">
                        <c:v>ANT</c:v>
                      </c:pt>
                      <c:pt idx="10">
                        <c:v>SW･
BPF</c:v>
                      </c:pt>
                      <c:pt idx="11">
                        <c:v>増幅</c:v>
                      </c:pt>
                      <c:pt idx="12">
                        <c:v>D/C</c:v>
                      </c:pt>
                      <c:pt idx="13">
                        <c:v>増幅</c:v>
                      </c:pt>
                      <c:pt idx="14">
                        <c:v>I-Q
DEM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第19話!$M$66:$Z$66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3.1309535047749222</c:v>
                      </c:pt>
                      <c:pt idx="1">
                        <c:v>3.1309535047749222</c:v>
                      </c:pt>
                      <c:pt idx="2">
                        <c:v>-6.8690464952250778</c:v>
                      </c:pt>
                      <c:pt idx="3">
                        <c:v>28.130953504774922</c:v>
                      </c:pt>
                      <c:pt idx="4">
                        <c:v>28.130953504774922</c:v>
                      </c:pt>
                      <c:pt idx="10">
                        <c:v>16.130953504774922</c:v>
                      </c:pt>
                      <c:pt idx="11">
                        <c:v>-26.869046495225078</c:v>
                      </c:pt>
                      <c:pt idx="12">
                        <c:v>33.130953504774922</c:v>
                      </c:pt>
                      <c:pt idx="13">
                        <c:v>2.1409535047749273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B817-4294-B6E6-95778A03AB1D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dBm</a:t>
                </a:r>
              </a:p>
            </c:rich>
          </c:tx>
          <c:layout>
            <c:manualLayout>
              <c:xMode val="edge"/>
              <c:yMode val="edge"/>
              <c:x val="2.9605647639775801E-2"/>
              <c:y val="0.3326518678085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6.99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音声出力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478754802378484"/>
          <c:y val="7.0529703586883652E-2"/>
          <c:w val="0.48917029949851021"/>
          <c:h val="0.81694168978501236"/>
        </c:manualLayout>
      </c:layou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477775909860391E-2"/>
                  <c:y val="-5.958052320906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第18話!$AC$60:$AE$60</c:f>
              <c:numCache>
                <c:formatCode>0.0_ </c:formatCode>
                <c:ptCount val="3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8EBD-4E4D-9C58-FD5413812B24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8537076706541936"/>
                  <c:y val="-7.3111057807627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第18話!$AC$63:$AE$63</c:f>
              <c:numCache>
                <c:formatCode>0.0_ </c:formatCode>
                <c:ptCount val="3"/>
                <c:pt idx="0">
                  <c:v>-55.947586262021488</c:v>
                </c:pt>
                <c:pt idx="1">
                  <c:v>-55.947501015842761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EBD-4E4D-9C58-FD5413812B24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43030772367069586"/>
                  <c:y val="-1.95229725898951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第18話!$AC$67:$AE$67</c:f>
              <c:numCache>
                <c:formatCode>0.0_ </c:formatCode>
                <c:ptCount val="3"/>
                <c:pt idx="1">
                  <c:v>-106.07904649522507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EBD-4E4D-9C58-FD5413812B24}"/>
            </c:ext>
          </c:extLst>
        </c:ser>
        <c:ser>
          <c:idx val="19"/>
          <c:order val="19"/>
          <c:tx>
            <c:strRef>
              <c:f>第18話!$F$77:$G$77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0608856100577647"/>
                  <c:y val="4.8271091824941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第18話!$AC$77:$AE$77</c:f>
              <c:numCache>
                <c:formatCode>0.0_ </c:formatCode>
                <c:ptCount val="3"/>
                <c:pt idx="0">
                  <c:v>-72.247198959355487</c:v>
                </c:pt>
                <c:pt idx="1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8EBD-4E4D-9C58-FD5413812B24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第18話!$AA$83:$AC$83</c:f>
              <c:numCache>
                <c:formatCode>0.0_ </c:formatCode>
                <c:ptCount val="3"/>
                <c:pt idx="0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EBD-4E4D-9C58-FD5413812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第18話!$AC$57:$AE$57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5.9794000867203749</c:v>
                      </c:pt>
                      <c:pt idx="1">
                        <c:v>5.9794000867203749</c:v>
                      </c:pt>
                      <c:pt idx="2">
                        <c:v>5.7594000867203761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8EBD-4E4D-9C58-FD5413812B2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第18話!$AC$61:$AE$61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-3.7594000867203761</c:v>
                      </c:pt>
                      <c:pt idx="2">
                        <c:v>21.240599913279624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EBD-4E4D-9C58-FD5413812B2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第18話!$AC$58:$AE$58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EBD-4E4D-9C58-FD5413812B2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第18話!$AC$64:$AE$64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-53.727501015842762</c:v>
                      </c:pt>
                      <c:pt idx="2">
                        <c:v>-8.7158693611306042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8EBD-4E4D-9C58-FD5413812B2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第18話!$AC$68:$AE$68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-103.85904649522507</c:v>
                      </c:pt>
                      <c:pt idx="2">
                        <c:v>-98.859046495225073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8EBD-4E4D-9C58-FD5413812B2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第18話!$AC$71:$AE$71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8EBD-4E4D-9C58-FD5413812B2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第18話!$AC$72:$AE$72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8EBD-4E4D-9C58-FD5413812B2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第18話!$AC$74:$AE$74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-8.7594000867203761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EBD-4E4D-9C58-FD5413812B24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第18話!$AC$75:$AE$75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EBD-4E4D-9C58-FD5413812B24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第18話!$AC$76:$AE$76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12</c:v>
                      </c:pt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8EBD-4E4D-9C58-FD5413812B24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第18話!$AC$78:$AE$78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8EBD-4E4D-9C58-FD5413812B24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第18話!$AC$79:$AE$79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8EBD-4E4D-9C58-FD5413812B24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第18話!$AC$81:$AE$81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8EBD-4E4D-9C58-FD5413812B24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第18話!$AC$82:$AE$82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8EBD-4E4D-9C58-FD5413812B24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第18話!$AC$84:$AE$84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8EBD-4E4D-9C58-FD5413812B2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6202467475431459E-2"/>
                  <c:y val="5.0271066457646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第18話!$AC$59:$AE$59</c:f>
              <c:numCache>
                <c:formatCode>0.0_ </c:formatCode>
                <c:ptCount val="3"/>
                <c:pt idx="1">
                  <c:v>114.02059991327963</c:v>
                </c:pt>
                <c:pt idx="2">
                  <c:v>139.02059991327963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8EBD-4E4D-9C58-FD5413812B24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825925303286797E-2"/>
                  <c:y val="3.72378270056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第18話!$AC$62:$AE$62</c:f>
              <c:numCache>
                <c:formatCode>0.0_ </c:formatCode>
                <c:ptCount val="3"/>
                <c:pt idx="1">
                  <c:v>64.052498984157239</c:v>
                </c:pt>
                <c:pt idx="2">
                  <c:v>109.0641306388694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8EBD-4E4D-9C58-FD5413812B24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8.6914184707796424E-2"/>
                  <c:y val="-2.6131593147555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第18話!$AC$66:$AE$66</c:f>
              <c:numCache>
                <c:formatCode>0.0_ </c:formatCode>
                <c:ptCount val="3"/>
                <c:pt idx="1">
                  <c:v>13.920953504774928</c:v>
                </c:pt>
                <c:pt idx="2">
                  <c:v>18.920953504774928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8EBD-4E4D-9C58-FD5413812B24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927159041002527E-2"/>
                  <c:y val="5.02710664576461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第18話!$AC$69:$AE$69</c:f>
              <c:numCache>
                <c:formatCode>0.0_ </c:formatCode>
                <c:ptCount val="3"/>
                <c:pt idx="1">
                  <c:v>14.020599913279625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8EBD-4E4D-9C58-FD5413812B24}"/>
            </c:ext>
          </c:extLst>
        </c:ser>
        <c:ser>
          <c:idx val="15"/>
          <c:order val="15"/>
          <c:tx>
            <c:strRef>
              <c:f>第18話!$F$73:$G$73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4825925303286797E-2"/>
                  <c:y val="-5.585674050849606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第18話!$AC$73:$AE$73</c:f>
              <c:numCache>
                <c:formatCode>0.0_ </c:formatCode>
                <c:ptCount val="3"/>
                <c:pt idx="2">
                  <c:v>109.02059991327963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8EBD-4E4D-9C58-FD5413812B24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71666386479058"/>
                  <c:y val="-4.46853924067965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第18話!$AC$80:$AE$80</c:f>
              <c:numCache>
                <c:formatCode>0.0_ </c:formatCode>
                <c:ptCount val="3"/>
                <c:pt idx="1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8EBD-4E4D-9C58-FD5413812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第18話!$F$70:$G$70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第18話!$AC$70:$AE$70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-105.97940008672037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8EBD-4E4D-9C58-FD5413812B24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5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3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0"/>
          <c:min val="-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無線区間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1856581216726"/>
          <c:y val="7.084295885093353E-2"/>
          <c:w val="0.76993102948175596"/>
          <c:h val="0.81686319225888904"/>
        </c:manualLayout>
      </c:layout>
      <c:lineChart>
        <c:grouping val="standard"/>
        <c:varyColors val="0"/>
        <c:ser>
          <c:idx val="3"/>
          <c:order val="3"/>
          <c:tx>
            <c:strRef>
              <c:f>第16話!$F$61:$G$61</c:f>
              <c:strCache>
                <c:ptCount val="2"/>
                <c:pt idx="0">
                  <c:v>レベル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4576634840376225E-2"/>
                  <c:y val="-1.3033239451982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第16話!$M$61:$Z$61</c:f>
              <c:numCache>
                <c:formatCode>0.0_ </c:formatCode>
                <c:ptCount val="14"/>
                <c:pt idx="1">
                  <c:v>-4.9899999999999949</c:v>
                </c:pt>
                <c:pt idx="2">
                  <c:v>-24.989999999999995</c:v>
                </c:pt>
                <c:pt idx="3">
                  <c:v>5.0100000000000051</c:v>
                </c:pt>
                <c:pt idx="4">
                  <c:v>35.010000000000005</c:v>
                </c:pt>
                <c:pt idx="5">
                  <c:v>29.010000000000005</c:v>
                </c:pt>
                <c:pt idx="6">
                  <c:v>31.160000000000004</c:v>
                </c:pt>
                <c:pt idx="7" formatCode="0_ ">
                  <c:v>-111.84</c:v>
                </c:pt>
                <c:pt idx="8">
                  <c:v>-109.69</c:v>
                </c:pt>
                <c:pt idx="9">
                  <c:v>-111.69</c:v>
                </c:pt>
                <c:pt idx="10">
                  <c:v>-71.69</c:v>
                </c:pt>
                <c:pt idx="11">
                  <c:v>-91.69</c:v>
                </c:pt>
                <c:pt idx="12">
                  <c:v>-41.69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D-41D9-99B8-10B37D9A82F5}"/>
            </c:ext>
          </c:extLst>
        </c:ser>
        <c:ser>
          <c:idx val="7"/>
          <c:order val="7"/>
          <c:tx>
            <c:strRef>
              <c:f>第16話!$F$64:$G$64</c:f>
              <c:strCache>
                <c:ptCount val="2"/>
                <c:pt idx="0">
                  <c:v>等価雑音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2.1055139213876854E-2"/>
                  <c:y val="-2.9790261604531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第16話!$M$64:$Z$64</c:f>
              <c:numCache>
                <c:formatCode>0.0_ </c:formatCode>
                <c:ptCount val="14"/>
                <c:pt idx="1">
                  <c:v>-46.510626643559299</c:v>
                </c:pt>
                <c:pt idx="2">
                  <c:v>-65.917140822142755</c:v>
                </c:pt>
                <c:pt idx="3">
                  <c:v>-35.916382645857688</c:v>
                </c:pt>
                <c:pt idx="4">
                  <c:v>10.11956112826806</c:v>
                </c:pt>
                <c:pt idx="5">
                  <c:v>4.1195611282680602</c:v>
                </c:pt>
                <c:pt idx="6">
                  <c:v>6.2695611282680606</c:v>
                </c:pt>
                <c:pt idx="7" formatCode="0_ ">
                  <c:v>-136.73043887173193</c:v>
                </c:pt>
                <c:pt idx="8">
                  <c:v>-134.58043887173193</c:v>
                </c:pt>
                <c:pt idx="9">
                  <c:v>-136.58043887173193</c:v>
                </c:pt>
                <c:pt idx="10">
                  <c:v>-89.828432999354817</c:v>
                </c:pt>
                <c:pt idx="11">
                  <c:v>-109.80848180284309</c:v>
                </c:pt>
                <c:pt idx="12">
                  <c:v>-59.640864055520346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ED-41D9-99B8-10B37D9A82F5}"/>
            </c:ext>
          </c:extLst>
        </c:ser>
        <c:ser>
          <c:idx val="10"/>
          <c:order val="10"/>
          <c:tx>
            <c:strRef>
              <c:f>第16話!$F$68:$G$68</c:f>
              <c:strCache>
                <c:ptCount val="2"/>
                <c:pt idx="0">
                  <c:v>熱雑音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7815887027126567E-2"/>
                  <c:y val="1.861891350283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第16話!$M$68:$Z$68</c:f>
              <c:numCache>
                <c:formatCode>0.0_ </c:formatCode>
                <c:ptCount val="14"/>
                <c:pt idx="0">
                  <c:v>-103.85904649522507</c:v>
                </c:pt>
                <c:pt idx="1">
                  <c:v>-103.85904649522507</c:v>
                </c:pt>
                <c:pt idx="2">
                  <c:v>-113.85904649522507</c:v>
                </c:pt>
                <c:pt idx="3">
                  <c:v>-78.859046495225073</c:v>
                </c:pt>
                <c:pt idx="4">
                  <c:v>-78.859046495225073</c:v>
                </c:pt>
                <c:pt idx="10">
                  <c:v>-90.859046495225073</c:v>
                </c:pt>
                <c:pt idx="11">
                  <c:v>-133.85904649522507</c:v>
                </c:pt>
                <c:pt idx="12">
                  <c:v>-73.859046495225073</c:v>
                </c:pt>
                <c:pt idx="13">
                  <c:v>-117.85904649522507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ED-41D9-99B8-10B37D9A82F5}"/>
            </c:ext>
          </c:extLst>
        </c:ser>
        <c:ser>
          <c:idx val="13"/>
          <c:order val="13"/>
          <c:tx>
            <c:strRef>
              <c:f>第16話!$F$71:$G$71</c:f>
              <c:strCache>
                <c:ptCount val="2"/>
                <c:pt idx="0">
                  <c:v>位相雑音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5587406633098129E-2"/>
                  <c:y val="3.8820752633759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第16話!$M$71:$Z$71</c:f>
              <c:numCache>
                <c:formatCode>0.0_ </c:formatCode>
                <c:ptCount val="14"/>
                <c:pt idx="1">
                  <c:v>-54.989999999999995</c:v>
                </c:pt>
                <c:pt idx="2">
                  <c:v>-74.989999999999995</c:v>
                </c:pt>
                <c:pt idx="11">
                  <c:v>-141.69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ED-41D9-99B8-10B37D9A82F5}"/>
            </c:ext>
          </c:extLst>
        </c:ser>
        <c:ser>
          <c:idx val="16"/>
          <c:order val="16"/>
          <c:tx>
            <c:strRef>
              <c:f>第16話!$F$74:$G$74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133738265362594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第16話!$M$74:$Z$74</c:f>
              <c:numCache>
                <c:formatCode>0.0_ </c:formatCode>
                <c:ptCount val="14"/>
                <c:pt idx="2">
                  <c:v>-89.99</c:v>
                </c:pt>
                <c:pt idx="3">
                  <c:v>-74.989999999999995</c:v>
                </c:pt>
                <c:pt idx="4">
                  <c:v>10.010000000000005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ED-41D9-99B8-10B37D9A82F5}"/>
            </c:ext>
          </c:extLst>
        </c:ser>
        <c:ser>
          <c:idx val="23"/>
          <c:order val="23"/>
          <c:tx>
            <c:strRef>
              <c:f>第16話!$F$81:$G$81</c:f>
              <c:strCache>
                <c:ptCount val="2"/>
                <c:pt idx="0">
                  <c:v>OP1dB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9435513120501652E-2"/>
                  <c:y val="-2.2342696203398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第16話!$M$81:$Z$81</c:f>
              <c:numCache>
                <c:formatCode>0.0_ </c:formatCode>
                <c:ptCount val="14"/>
                <c:pt idx="1">
                  <c:v>10</c:v>
                </c:pt>
                <c:pt idx="3">
                  <c:v>20</c:v>
                </c:pt>
                <c:pt idx="4">
                  <c:v>43</c:v>
                </c:pt>
                <c:pt idx="10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ED-41D9-99B8-10B37D9A82F5}"/>
            </c:ext>
          </c:extLst>
        </c:ser>
        <c:ser>
          <c:idx val="24"/>
          <c:order val="24"/>
          <c:tx>
            <c:strRef>
              <c:f>第16話!$F$82:$G$82</c:f>
              <c:strCache>
                <c:ptCount val="2"/>
                <c:pt idx="0">
                  <c:v>IP1dB</c:v>
                </c:pt>
                <c:pt idx="1">
                  <c:v>[dBm]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177565602508259E-3"/>
                  <c:y val="3.1652152954814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第16話!$M$82:$Z$82</c:f>
              <c:numCache>
                <c:formatCode>0.0_ </c:formatCode>
                <c:ptCount val="14"/>
                <c:pt idx="1">
                  <c:v>5</c:v>
                </c:pt>
                <c:pt idx="2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4ED-41D9-99B8-10B37D9A82F5}"/>
            </c:ext>
          </c:extLst>
        </c:ser>
        <c:ser>
          <c:idx val="25"/>
          <c:order val="25"/>
          <c:tx>
            <c:strRef>
              <c:f>第16話!$F$84:$G$84</c:f>
              <c:strCache>
                <c:ptCount val="2"/>
                <c:pt idx="0">
                  <c:v>背景
熱雑音</c:v>
                </c:pt>
                <c:pt idx="1">
                  <c:v>[dBm]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3165417641630597E-2"/>
                  <c:y val="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第16話!$M$84:$Z$84</c:f>
              <c:numCache>
                <c:formatCode>0.0_ </c:formatCode>
                <c:ptCount val="14"/>
                <c:pt idx="0">
                  <c:v>-133.85904649522507</c:v>
                </c:pt>
                <c:pt idx="1">
                  <c:v>-133.85904649522507</c:v>
                </c:pt>
                <c:pt idx="2">
                  <c:v>-133.85904649522507</c:v>
                </c:pt>
                <c:pt idx="3">
                  <c:v>-133.85904649522507</c:v>
                </c:pt>
                <c:pt idx="4">
                  <c:v>-133.85904649522507</c:v>
                </c:pt>
                <c:pt idx="5">
                  <c:v>-133.85904649522507</c:v>
                </c:pt>
                <c:pt idx="6">
                  <c:v>-133.85904649522507</c:v>
                </c:pt>
                <c:pt idx="7">
                  <c:v>-133.85904649522507</c:v>
                </c:pt>
                <c:pt idx="8">
                  <c:v>-133.85904649522507</c:v>
                </c:pt>
                <c:pt idx="9">
                  <c:v>-133.85904649522507</c:v>
                </c:pt>
                <c:pt idx="10">
                  <c:v>-133.85904649522507</c:v>
                </c:pt>
                <c:pt idx="11">
                  <c:v>-133.85904649522507</c:v>
                </c:pt>
                <c:pt idx="12">
                  <c:v>-133.85904649522507</c:v>
                </c:pt>
                <c:pt idx="13">
                  <c:v>-133.85904649522507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4ED-41D9-99B8-10B37D9A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第16話!$M$57:$Z$57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5.9794000867203749</c:v>
                      </c:pt>
                      <c:pt idx="1">
                        <c:v>14.989999999999995</c:v>
                      </c:pt>
                      <c:pt idx="2">
                        <c:v>9.9899999999999949</c:v>
                      </c:pt>
                      <c:pt idx="3">
                        <c:v>14.989999999999995</c:v>
                      </c:pt>
                      <c:pt idx="4">
                        <c:v>7.9899999999999949</c:v>
                      </c:pt>
                      <c:pt idx="10">
                        <c:v>81.69</c:v>
                      </c:pt>
                      <c:pt idx="11">
                        <c:v>71.69</c:v>
                      </c:pt>
                      <c:pt idx="12">
                        <c:v>51.69</c:v>
                      </c:pt>
                      <c:pt idx="13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F4ED-41D9-99B8-10B37D9A82F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第16話!$F$60:$G$60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第16話!$M$60:$Z$60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-5.9794000867203749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F4ED-41D9-99B8-10B37D9A82F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第16話!$M$58:$Z$58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0</c:v>
                      </c:pt>
                      <c:pt idx="1">
                        <c:v>-6</c:v>
                      </c:pt>
                      <c:pt idx="2">
                        <c:v>-20</c:v>
                      </c:pt>
                      <c:pt idx="3">
                        <c:v>30</c:v>
                      </c:pt>
                      <c:pt idx="4">
                        <c:v>30</c:v>
                      </c:pt>
                      <c:pt idx="5">
                        <c:v>-6</c:v>
                      </c:pt>
                      <c:pt idx="6">
                        <c:v>2.15</c:v>
                      </c:pt>
                      <c:pt idx="7" formatCode="0_ ">
                        <c:v>-143</c:v>
                      </c:pt>
                      <c:pt idx="8">
                        <c:v>2.15</c:v>
                      </c:pt>
                      <c:pt idx="9">
                        <c:v>-2</c:v>
                      </c:pt>
                      <c:pt idx="10">
                        <c:v>40</c:v>
                      </c:pt>
                      <c:pt idx="11">
                        <c:v>-20</c:v>
                      </c:pt>
                      <c:pt idx="12">
                        <c:v>50</c:v>
                      </c:pt>
                      <c:pt idx="13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F4ED-41D9-99B8-10B37D9A82F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第16話!$F$63:$G$63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第16話!$M$63:$Z$63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-48.164789781845712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F4ED-41D9-99B8-10B37D9A82F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第16話!$F$67:$G$67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第16話!$M$67:$Z$67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F4ED-41D9-99B8-10B37D9A82F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第16話!$M$70:$Z$70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F4ED-41D9-99B8-10B37D9A82F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第16話!$M$72:$Z$72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100</c:v>
                      </c:pt>
                      <c:pt idx="1">
                        <c:v>50</c:v>
                      </c:pt>
                      <c:pt idx="2">
                        <c:v>50</c:v>
                      </c:pt>
                      <c:pt idx="11">
                        <c:v>50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F4ED-41D9-99B8-10B37D9A82F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第16話!$M$73:$Z$73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F4ED-41D9-99B8-10B37D9A82F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第16話!$M$75:$Z$75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2">
                        <c:v>-65</c:v>
                      </c:pt>
                      <c:pt idx="3">
                        <c:v>-80</c:v>
                      </c:pt>
                      <c:pt idx="4">
                        <c:v>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F4ED-41D9-99B8-10B37D9A82F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第16話!$M$76:$Z$76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F4ED-41D9-99B8-10B37D9A82F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第16話!$M$77:$Z$77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F4ED-41D9-99B8-10B37D9A82F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第16話!$M$78:$Z$78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10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F4ED-41D9-99B8-10B37D9A82F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第16話!$M$79:$Z$79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25</c:v>
                      </c:pt>
                      <c:pt idx="10">
                        <c:v>3</c:v>
                      </c:pt>
                      <c:pt idx="11">
                        <c:v>20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F4ED-41D9-99B8-10B37D9A82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53269680752568E-2"/>
                  <c:y val="6.5166197259911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第16話!$M$59:$Z$59</c:f>
              <c:numCache>
                <c:formatCode>0.0_ </c:formatCode>
                <c:ptCount val="14"/>
                <c:pt idx="0">
                  <c:v>108</c:v>
                </c:pt>
                <c:pt idx="1">
                  <c:v>102</c:v>
                </c:pt>
                <c:pt idx="12">
                  <c:v>65.3</c:v>
                </c:pt>
                <c:pt idx="1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4ED-41D9-99B8-10B37D9A82F5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第16話!$M$62:$Z$62</c:f>
              <c:numCache>
                <c:formatCode>0.0_ </c:formatCode>
                <c:ptCount val="14"/>
                <c:pt idx="0">
                  <c:v>65.814610304874662</c:v>
                </c:pt>
                <c:pt idx="1">
                  <c:v>60.479373356440696</c:v>
                </c:pt>
                <c:pt idx="12">
                  <c:v>47.349135944479649</c:v>
                </c:pt>
                <c:pt idx="13">
                  <c:v>53.349195920508961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4ED-41D9-99B8-10B37D9A82F5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364545902515571E-2"/>
                  <c:y val="-5.30522753546038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ED-41D9-99B8-10B37D9A82F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第16話!$M$69:$Z$69</c:f>
              <c:numCache>
                <c:formatCode>0.0_ </c:formatCode>
                <c:ptCount val="14"/>
                <c:pt idx="0">
                  <c:v>8</c:v>
                </c:pt>
                <c:pt idx="13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4ED-41D9-99B8-10B37D9A82F5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4.65472837570798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ED-41D9-99B8-10B37D9A82F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第16話!$M$80:$Z$80</c:f>
              <c:numCache>
                <c:formatCode>0.0_ </c:formatCode>
                <c:ptCount val="14"/>
                <c:pt idx="0">
                  <c:v>113.97940008672037</c:v>
                </c:pt>
                <c:pt idx="13">
                  <c:v>113.97940008672037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4ED-41D9-99B8-10B37D9A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第16話!$F$66:$G$66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第16話!$L$52:$Z$52</c15:sqref>
                        </c15:formulaRef>
                      </c:ext>
                    </c:extLst>
                    <c:strCache>
                      <c:ptCount val="15"/>
                      <c:pt idx="0">
                        <c:v>QPSK
波形
生成</c:v>
                      </c:pt>
                      <c:pt idx="1">
                        <c:v>DAC</c:v>
                      </c:pt>
                      <c:pt idx="2">
                        <c:v>I-Q
MOD</c:v>
                      </c:pt>
                      <c:pt idx="3">
                        <c:v>U/C</c:v>
                      </c:pt>
                      <c:pt idx="4">
                        <c:v>増幅</c:v>
                      </c:pt>
                      <c:pt idx="5">
                        <c:v>増幅</c:v>
                      </c:pt>
                      <c:pt idx="6">
                        <c:v>給電
回路</c:v>
                      </c:pt>
                      <c:pt idx="7">
                        <c:v>ANT</c:v>
                      </c:pt>
                      <c:pt idx="8">
                        <c:v>AIR</c:v>
                      </c:pt>
                      <c:pt idx="9">
                        <c:v>ANT</c:v>
                      </c:pt>
                      <c:pt idx="10">
                        <c:v>SW･
BPF</c:v>
                      </c:pt>
                      <c:pt idx="11">
                        <c:v>増幅</c:v>
                      </c:pt>
                      <c:pt idx="12">
                        <c:v>D/C</c:v>
                      </c:pt>
                      <c:pt idx="13">
                        <c:v>増幅</c:v>
                      </c:pt>
                      <c:pt idx="14">
                        <c:v>I-Q
DEM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第16話!$M$66:$Z$66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3.1309535047749222</c:v>
                      </c:pt>
                      <c:pt idx="1">
                        <c:v>3.1309535047749222</c:v>
                      </c:pt>
                      <c:pt idx="2">
                        <c:v>-6.8690464952250778</c:v>
                      </c:pt>
                      <c:pt idx="3">
                        <c:v>28.130953504774922</c:v>
                      </c:pt>
                      <c:pt idx="4">
                        <c:v>28.130953504774922</c:v>
                      </c:pt>
                      <c:pt idx="10">
                        <c:v>16.130953504774922</c:v>
                      </c:pt>
                      <c:pt idx="11">
                        <c:v>-26.869046495225078</c:v>
                      </c:pt>
                      <c:pt idx="12">
                        <c:v>33.130953504774922</c:v>
                      </c:pt>
                      <c:pt idx="13">
                        <c:v>2.1409535047749273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F4ED-41D9-99B8-10B37D9A82F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dBm</a:t>
                </a:r>
              </a:p>
            </c:rich>
          </c:tx>
          <c:layout>
            <c:manualLayout>
              <c:xMode val="edge"/>
              <c:yMode val="edge"/>
              <c:x val="2.9605647639775801E-2"/>
              <c:y val="0.3326518678085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6.99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5289355097E-2"/>
          <c:w val="0.36447152330982158"/>
          <c:h val="0.81687651673407902"/>
        </c:manualLayout>
      </c:layou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31837189959836E-2"/>
                  <c:y val="5.1540612836149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42-48E4-BDE4-5E6E12C62AC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第16話!$L$60:$M$60</c:f>
              <c:numCache>
                <c:formatCode>0.0_ </c:formatCode>
                <c:ptCount val="2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D42-48E4-BDE4-5E6E12C62AC8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744150910784274"/>
                  <c:y val="-4.084667774883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第16話!$L$63:$M$63</c:f>
              <c:numCache>
                <c:formatCode>0.0_ </c:formatCode>
                <c:ptCount val="2"/>
                <c:pt idx="0">
                  <c:v>-48.164799306236993</c:v>
                </c:pt>
                <c:pt idx="1">
                  <c:v>-48.164789781845712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D42-48E4-BDE4-5E6E12C62AC8}"/>
            </c:ext>
          </c:extLst>
        </c:ser>
        <c:ser>
          <c:idx val="15"/>
          <c:order val="15"/>
          <c:tx>
            <c:strRef>
              <c:f>第16話!$F$73:$G$73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第16話!$L$73:$M$73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BD42-48E4-BDE4-5E6E12C62AC8}"/>
            </c:ext>
          </c:extLst>
        </c:ser>
        <c:ser>
          <c:idx val="16"/>
          <c:order val="16"/>
          <c:tx>
            <c:strRef>
              <c:f>第16話!$F$74:$G$74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第16話!$L$74:$M$74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BD42-48E4-BDE4-5E6E12C62AC8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6150122186376"/>
                  <c:y val="7.72817109851890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第16話!$L$77:$M$77</c:f>
              <c:numCache>
                <c:formatCode>0.0_ </c:formatCode>
                <c:ptCount val="2"/>
                <c:pt idx="0">
                  <c:v>-48.164799306236993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BD42-48E4-BDE4-5E6E12C62AC8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第16話!$L$83:$M$83</c:f>
              <c:numCache>
                <c:formatCode>0.0_ 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42-48E4-BDE4-5E6E12C6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第16話!$L$57:$M$57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5.9794000867203749</c:v>
                      </c:pt>
                      <c:pt idx="1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BD42-48E4-BDE4-5E6E12C62AC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第16話!$L$61:$M$61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BD42-48E4-BDE4-5E6E12C62AC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第16話!$L$58:$M$58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BD42-48E4-BDE4-5E6E12C62AC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第16話!$L$64:$M$64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BD42-48E4-BDE4-5E6E12C62AC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第16話!$L$68:$M$68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-103.85904649522507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D42-48E4-BDE4-5E6E12C62AC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第16話!$L$71:$M$71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D42-48E4-BDE4-5E6E12C62AC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第16話!$L$72:$M$72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D42-48E4-BDE4-5E6E12C62AC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第16話!$L$75:$M$75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D42-48E4-BDE4-5E6E12C62AC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第16話!$L$76:$M$76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BD42-48E4-BDE4-5E6E12C62AC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第16話!$L$78:$M$78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D42-48E4-BDE4-5E6E12C62AC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第16話!$L$79:$M$79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D42-48E4-BDE4-5E6E12C62AC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第16話!$L$81:$M$81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BD42-48E4-BDE4-5E6E12C62AC8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第16話!$L$82:$M$82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BD42-48E4-BDE4-5E6E12C62AC8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第16話!$L$84:$M$84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D42-48E4-BDE4-5E6E12C62AC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8024569994235977E-2"/>
                  <c:y val="5.15464143842069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第16話!$L$59:$M$59</c:f>
              <c:numCache>
                <c:formatCode>0.0_ </c:formatCode>
                <c:ptCount val="2"/>
                <c:pt idx="1">
                  <c:v>108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BD42-48E4-BDE4-5E6E12C62AC8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497470236611"/>
                  <c:y val="-3.87020696987485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第16話!$L$62:$M$62</c:f>
              <c:numCache>
                <c:formatCode>0.0_ </c:formatCode>
                <c:ptCount val="2"/>
                <c:pt idx="1">
                  <c:v>65.814610304874662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BD42-48E4-BDE4-5E6E12C62AC8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502090895583"/>
                  <c:y val="5.15406128361490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第16話!$L$66:$M$66</c:f>
              <c:numCache>
                <c:formatCode>0.0_ </c:formatCode>
                <c:ptCount val="2"/>
                <c:pt idx="1">
                  <c:v>3.1309535047749222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BD42-48E4-BDE4-5E6E12C62AC8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第16話!$L$67:$M$67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BD42-48E4-BDE4-5E6E12C62AC8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25397964874498"/>
                  <c:y val="-7.0868342649704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第16話!$L$69:$M$69</c:f>
              <c:numCache>
                <c:formatCode>0.0_ </c:formatCode>
                <c:ptCount val="2"/>
                <c:pt idx="1">
                  <c:v>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BD42-48E4-BDE4-5E6E12C62AC8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第16話!$L$70:$M$70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BD42-48E4-BDE4-5E6E12C62AC8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3130245330461853E-2"/>
                  <c:y val="-7.5163393719384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第16話!$L$80:$M$80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BD42-48E4-BDE4-5E6E12C6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3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42.99"/>
          <c:min val="-157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音声入力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40325478617333"/>
          <c:y val="7.0529703586883652E-2"/>
          <c:w val="0.48917029949851021"/>
          <c:h val="0.81467814237666425"/>
        </c:manualLayout>
      </c:layou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26-494A-8509-F250089CD528}"/>
              </c:ext>
            </c:extLst>
          </c:dPt>
          <c:dLbls>
            <c:dLbl>
              <c:idx val="1"/>
              <c:layout>
                <c:manualLayout>
                  <c:x val="-0.22315400099049409"/>
                  <c:y val="-2.4204587553681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第16話!$H$59:$J$59</c:f>
              <c:numCache>
                <c:formatCode>0.0_ </c:formatCode>
                <c:ptCount val="3"/>
                <c:pt idx="0">
                  <c:v>70.020599913279625</c:v>
                </c:pt>
                <c:pt idx="1">
                  <c:v>114.02059991327963</c:v>
                </c:pt>
                <c:pt idx="2">
                  <c:v>114.02059991327963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F26-494A-8509-F250089CD528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4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26-494A-8509-F250089CD528}"/>
              </c:ext>
            </c:extLst>
          </c:dPt>
          <c:dLbls>
            <c:dLbl>
              <c:idx val="1"/>
              <c:layout>
                <c:manualLayout>
                  <c:x val="-0.11157700049524708"/>
                  <c:y val="-4.6547283757079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第16話!$H$62:$J$62</c:f>
              <c:numCache>
                <c:formatCode>0.0_ </c:formatCode>
                <c:ptCount val="3"/>
                <c:pt idx="0">
                  <c:v>20.020599913279618</c:v>
                </c:pt>
                <c:pt idx="1">
                  <c:v>64.022289323811165</c:v>
                </c:pt>
                <c:pt idx="2">
                  <c:v>64.052413737978512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AF26-494A-8509-F250089CD528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44451899542311"/>
                  <c:y val="5.027106645764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第16話!$H$66:$J$66</c:f>
              <c:numCache>
                <c:formatCode>0.0_ </c:formatCode>
                <c:ptCount val="3"/>
                <c:pt idx="0">
                  <c:v>20.020599913279618</c:v>
                </c:pt>
                <c:pt idx="1">
                  <c:v>29.920953504774928</c:v>
                </c:pt>
                <c:pt idx="2">
                  <c:v>-6.0790464952250716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AF26-494A-8509-F250089CD528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384666996831411E-2"/>
                  <c:y val="-3.90997183559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第16話!$H$80:$J$80</c:f>
              <c:numCache>
                <c:formatCode>0.0_ </c:formatCode>
                <c:ptCount val="3"/>
                <c:pt idx="0">
                  <c:v>140</c:v>
                </c:pt>
                <c:pt idx="1">
                  <c:v>123.52182518111363</c:v>
                </c:pt>
                <c:pt idx="2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AF26-494A-8509-F250089CD528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0914592996127253E-2"/>
                  <c:y val="6.144241455934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第16話!$H$83:$J$83</c:f>
              <c:numCache>
                <c:formatCode>0.0_ </c:formatCode>
                <c:ptCount val="3"/>
                <c:pt idx="0">
                  <c:v>-16.079046495225072</c:v>
                </c:pt>
                <c:pt idx="1">
                  <c:v>-16.079046495225072</c:v>
                </c:pt>
                <c:pt idx="2">
                  <c:v>-16.079046495225072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F26-494A-8509-F250089C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第16話!$H$57:$J$57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69.979400086720375</c:v>
                      </c:pt>
                      <c:pt idx="1">
                        <c:v>9.5012252678340019</c:v>
                      </c:pt>
                      <c:pt idx="2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AF26-494A-8509-F250089CD5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第16話!$H$61:$J$61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-47.759400086720376</c:v>
                      </c:pt>
                      <c:pt idx="1">
                        <c:v>-3.7594000867203761</c:v>
                      </c:pt>
                      <c:pt idx="2">
                        <c:v>-3.7594000867203761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F26-494A-8509-F250089CD52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第16話!$H$58:$J$58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44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F26-494A-8509-F250089CD52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第16話!$H$64:$J$64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-53.757710676188836</c:v>
                      </c:pt>
                      <c:pt idx="2">
                        <c:v>-53.727586262021489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F26-494A-8509-F250089CD52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第16話!$H$68:$J$68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-87.859046495225073</c:v>
                      </c:pt>
                      <c:pt idx="2">
                        <c:v>-123.85904649522507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F26-494A-8509-F250089CD52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第16話!$H$71:$J$71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F26-494A-8509-F250089CD52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第16話!$H$72:$J$72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F26-494A-8509-F250089CD52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第16話!$H$73:$J$73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F26-494A-8509-F250089CD52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第16話!$H$74:$J$74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F26-494A-8509-F250089CD52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第16話!$H$75:$J$75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F26-494A-8509-F250089CD52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第16話!$H$76:$J$76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F26-494A-8509-F250089CD52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第16話!$H$78:$J$78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AF26-494A-8509-F250089CD52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第16話!$H$79:$J$79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2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AF26-494A-8509-F250089CD52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第16話!$H$81:$J$81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AF26-494A-8509-F250089CD528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第16話!$H$82:$J$82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AF26-494A-8509-F250089CD528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第16話!$H$84:$J$84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-133.85904649522507</c:v>
                      </c:pt>
                      <c:pt idx="1">
                        <c:v>-133.85904649522507</c:v>
                      </c:pt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AF26-494A-8509-F250089CD52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715717137165448E-2"/>
                  <c:y val="-3.27626856233236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第16話!$H$60:$J$60</c:f>
              <c:numCache>
                <c:formatCode>0.0_ </c:formatCode>
                <c:ptCount val="3"/>
                <c:pt idx="2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AF26-494A-8509-F250089CD528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825880473107399E-2"/>
                  <c:y val="-3.33181273032556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第16話!$H$63:$J$63</c:f>
              <c:numCache>
                <c:formatCode>0.0_ </c:formatCode>
                <c:ptCount val="3"/>
                <c:pt idx="2">
                  <c:v>-55.947586262021488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AF26-494A-8509-F250089CD528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9637343605655793E-2"/>
                  <c:y val="3.76632722039293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第16話!$H$67:$J$67</c:f>
              <c:numCache>
                <c:formatCode>0.0_ </c:formatCode>
                <c:ptCount val="3"/>
                <c:pt idx="2">
                  <c:v>-126.07904649522507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AF26-494A-8509-F250089CD528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944543057519645E-2"/>
                  <c:y val="-6.364726662160181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第16話!$H$70:$J$70</c:f>
              <c:numCache>
                <c:formatCode>0.0_ </c:formatCode>
                <c:ptCount val="3"/>
                <c:pt idx="2">
                  <c:v>-105.97940008672037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AF26-494A-8509-F250089CD528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3.795535540915055E-2"/>
                  <c:y val="5.027113543688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第16話!$H$77:$J$77</c:f>
              <c:numCache>
                <c:formatCode>0.0_ </c:formatCode>
                <c:ptCount val="3"/>
                <c:pt idx="2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AF26-494A-8509-F250089C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第16話!$F$69:$G$69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第16話!$H$69:$J$69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AF26-494A-8509-F250089CD528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30"/>
          <c:min val="-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復調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03586883652E-2"/>
          <c:w val="0.36447152330982158"/>
          <c:h val="0.81687878940154535"/>
        </c:manualLayout>
      </c:layou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009841498938997E-2"/>
                  <c:y val="-5.02710664576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第16話!$Z$59:$AA$59</c:f>
              <c:numCache>
                <c:formatCode>0.0_ </c:formatCode>
                <c:ptCount val="2"/>
                <c:pt idx="0">
                  <c:v>71.3</c:v>
                </c:pt>
                <c:pt idx="1">
                  <c:v>71.3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A69-4322-A3DA-A877C575EB25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41862632413873E-2"/>
                  <c:y val="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第16話!$Z$62:$AA$62</c:f>
              <c:numCache>
                <c:formatCode>0.0_ </c:formatCode>
                <c:ptCount val="2"/>
                <c:pt idx="0">
                  <c:v>53.349195920508961</c:v>
                </c:pt>
                <c:pt idx="1">
                  <c:v>53.349195920508961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A69-4322-A3DA-A877C575EB25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1556386268823522"/>
                  <c:y val="3.9099750955279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第16話!$Z$66:$AA$66</c:f>
              <c:numCache>
                <c:formatCode>0.0_ </c:formatCode>
                <c:ptCount val="2"/>
                <c:pt idx="0">
                  <c:v>2.1409535047749273</c:v>
                </c:pt>
                <c:pt idx="1">
                  <c:v>6.1409535047749273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A69-4322-A3DA-A877C575EB25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39894332625998E-2"/>
                  <c:y val="-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第16話!$Z$69:$AA$69</c:f>
              <c:numCache>
                <c:formatCode>0.0_ </c:formatCode>
                <c:ptCount val="2"/>
                <c:pt idx="0">
                  <c:v>1.2999999999999972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A69-4322-A3DA-A877C575EB25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81756965039829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第16話!$Z$80:$AA$80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5A69-4322-A3DA-A877C575EB25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38342065457208097"/>
                  <c:y val="4.4568332616212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02702494387864"/>
                      <c:h val="6.38664277314369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第16話!$Z$83:$AA$83</c:f>
              <c:numCache>
                <c:formatCode>0.0_ </c:formatCode>
                <c:ptCount val="2"/>
                <c:pt idx="0">
                  <c:v>-13.859046495225073</c:v>
                </c:pt>
                <c:pt idx="1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69-4322-A3DA-A877C575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第16話!$Z$57:$AA$57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42.679400086720378</c:v>
                      </c:pt>
                      <c:pt idx="1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5A69-4322-A3DA-A877C575EB2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第16話!$Z$61:$AA$61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A69-4322-A3DA-A877C575EB2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第16話!$Z$58:$AA$58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6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A69-4322-A3DA-A877C575EB2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第16話!$Z$64:$AA$64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A69-4322-A3DA-A877C575EB2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第16話!$Z$68:$AA$68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-117.85904649522507</c:v>
                      </c:pt>
                      <c:pt idx="1">
                        <c:v>-113.85904649522507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A69-4322-A3DA-A877C575EB2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第16話!$Z$71:$AA$71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A69-4322-A3DA-A877C575EB2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第16話!$Z$72:$AA$72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70</c:v>
                      </c:pt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A69-4322-A3DA-A877C575EB2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第16話!$Z$73:$AA$73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A69-4322-A3DA-A877C575EB2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第16話!$Z$74:$AA$74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A69-4322-A3DA-A877C575EB2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第16話!$Z$75:$AA$75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A69-4322-A3DA-A877C575EB2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第16話!$Z$76:$AA$76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A69-4322-A3DA-A877C575EB2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第16話!$Z$78:$AA$78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5A69-4322-A3DA-A877C575EB2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第16話!$Z$79:$AA$79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A69-4322-A3DA-A877C575EB25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第16話!$Z$81:$AA$81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5A69-4322-A3DA-A877C575EB25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第16話!$Z$82:$AA$82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5A69-4322-A3DA-A877C575EB25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第16話!$Z$84:$AA$84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-133.85904649522507</c:v>
                      </c:pt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5A69-4322-A3DA-A877C575EB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05904899363471E-2"/>
                  <c:y val="-4.654728375707976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第16話!$Z$60:$AA$60</c:f>
              <c:numCache>
                <c:formatCode>0.0_ </c:formatCode>
                <c:ptCount val="2"/>
                <c:pt idx="1">
                  <c:v>-42.679400086720378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5A69-4322-A3DA-A877C575EB25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2009841498939074E-2"/>
                  <c:y val="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第16話!$Z$63:$AA$63</c:f>
              <c:numCache>
                <c:formatCode>0.0_ </c:formatCode>
                <c:ptCount val="2"/>
                <c:pt idx="1">
                  <c:v>-60.34070369083171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A69-4322-A3DA-A877C575EB25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607873199151276E-2"/>
                  <c:y val="-5.21329578079293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第16話!$Z$52:$AB$52</c:f>
              <c:strCache>
                <c:ptCount val="3"/>
                <c:pt idx="0">
                  <c:v>I-Q
DEM</c:v>
                </c:pt>
                <c:pt idx="1">
                  <c:v>ADC</c:v>
                </c:pt>
                <c:pt idx="2">
                  <c:v>QPSK
復調</c:v>
                </c:pt>
              </c:strCache>
            </c:strRef>
          </c:cat>
          <c:val>
            <c:numRef>
              <c:f>第16話!$Z$67:$AA$67</c:f>
              <c:numCache>
                <c:formatCode>0.0_ </c:formatCode>
                <c:ptCount val="2"/>
                <c:pt idx="1">
                  <c:v>-107.83844658194545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5A69-4322-A3DA-A877C575EB25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61771469809027"/>
                  <c:y val="3.3514044305097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第16話!$Z$70:$AA$70</c:f>
              <c:numCache>
                <c:formatCode>0.0_ </c:formatCode>
                <c:ptCount val="2"/>
                <c:pt idx="1">
                  <c:v>-142.67940008672036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5A69-4322-A3DA-A877C575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第16話!$F$77:$G$77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chemeClr val="accent6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第16話!$Z$77:$AA$77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-72.247198959355487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F-5A69-4322-A3DA-A877C575EB2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6.99"/>
          <c:min val="-43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42.99"/>
          <c:min val="-157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音声出力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478754802378484"/>
          <c:y val="7.0529703586883652E-2"/>
          <c:w val="0.48917029949851021"/>
          <c:h val="0.81694168978501236"/>
        </c:manualLayout>
      </c:layou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77775909860391E-2"/>
                  <c:y val="-5.958052320906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第16話!$AC$60:$AE$60</c:f>
              <c:numCache>
                <c:formatCode>0.0_ </c:formatCode>
                <c:ptCount val="3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D6B-4AA7-952C-F8DFFD910C56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28537076706541936"/>
                  <c:y val="-7.3111057807627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第16話!$AC$63:$AE$63</c:f>
              <c:numCache>
                <c:formatCode>0.0_ </c:formatCode>
                <c:ptCount val="3"/>
                <c:pt idx="0">
                  <c:v>-55.947586262021488</c:v>
                </c:pt>
                <c:pt idx="1">
                  <c:v>-55.947501015842761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D6B-4AA7-952C-F8DFFD910C56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43030772367069586"/>
                  <c:y val="-1.95229725898951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第16話!$AC$67:$AE$67</c:f>
              <c:numCache>
                <c:formatCode>0.0_ </c:formatCode>
                <c:ptCount val="3"/>
                <c:pt idx="1">
                  <c:v>-106.07904649522507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D6B-4AA7-952C-F8DFFD910C56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0608856100577647"/>
                  <c:y val="4.8271091824941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第16話!$AC$77:$AE$77</c:f>
              <c:numCache>
                <c:formatCode>0.0_ </c:formatCode>
                <c:ptCount val="3"/>
                <c:pt idx="0">
                  <c:v>-72.247198959355487</c:v>
                </c:pt>
                <c:pt idx="1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D6B-4AA7-952C-F8DFFD910C56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第16話!$AA$83:$AC$83</c:f>
              <c:numCache>
                <c:formatCode>0.0_ </c:formatCode>
                <c:ptCount val="3"/>
                <c:pt idx="0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6B-4AA7-952C-F8DFFD91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第16話!$AC$57:$AE$57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5.9794000867203749</c:v>
                      </c:pt>
                      <c:pt idx="1">
                        <c:v>5.9794000867203749</c:v>
                      </c:pt>
                      <c:pt idx="2">
                        <c:v>5.7594000867203761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9D6B-4AA7-952C-F8DFFD910C5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第16話!$AC$61:$AE$61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-3.7594000867203761</c:v>
                      </c:pt>
                      <c:pt idx="2">
                        <c:v>21.240599913279624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D6B-4AA7-952C-F8DFFD910C5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第16話!$AC$58:$AE$58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D6B-4AA7-952C-F8DFFD910C5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第16話!$AC$64:$AE$64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-53.727501015842762</c:v>
                      </c:pt>
                      <c:pt idx="2">
                        <c:v>-8.7158693611306042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D6B-4AA7-952C-F8DFFD910C5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第16話!$AC$68:$AE$68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-103.85904649522507</c:v>
                      </c:pt>
                      <c:pt idx="2">
                        <c:v>-98.859046495225073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D6B-4AA7-952C-F8DFFD910C5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第16話!$AC$71:$AE$71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D6B-4AA7-952C-F8DFFD910C5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第16話!$AC$72:$AE$72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9D6B-4AA7-952C-F8DFFD910C5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第16話!$AC$74:$AE$74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-8.7594000867203761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9D6B-4AA7-952C-F8DFFD910C56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第16話!$AC$75:$AE$75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D6B-4AA7-952C-F8DFFD910C5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第16話!$AC$76:$AE$76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12</c:v>
                      </c:pt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9D6B-4AA7-952C-F8DFFD910C56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第16話!$AC$78:$AE$78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9D6B-4AA7-952C-F8DFFD910C56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第16話!$AC$79:$AE$79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9D6B-4AA7-952C-F8DFFD910C56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第16話!$AC$81:$AE$81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9D6B-4AA7-952C-F8DFFD910C56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第16話!$AC$82:$AE$82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D6B-4AA7-952C-F8DFFD910C56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第16話!$AC$84:$AE$84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9D6B-4AA7-952C-F8DFFD910C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6202467475431459E-2"/>
                  <c:y val="5.0271066457646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第16話!$AC$59:$AE$59</c:f>
              <c:numCache>
                <c:formatCode>0.0_ </c:formatCode>
                <c:ptCount val="3"/>
                <c:pt idx="1">
                  <c:v>114.02059991327963</c:v>
                </c:pt>
                <c:pt idx="2">
                  <c:v>139.02059991327963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9D6B-4AA7-952C-F8DFFD910C56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825925303286797E-2"/>
                  <c:y val="3.72378270056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第16話!$AC$62:$AE$62</c:f>
              <c:numCache>
                <c:formatCode>0.0_ </c:formatCode>
                <c:ptCount val="3"/>
                <c:pt idx="1">
                  <c:v>64.052498984157239</c:v>
                </c:pt>
                <c:pt idx="2">
                  <c:v>109.0641306388694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9D6B-4AA7-952C-F8DFFD910C56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8.6914184707796424E-2"/>
                  <c:y val="-2.6131593147555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第16話!$AC$66:$AE$66</c:f>
              <c:numCache>
                <c:formatCode>0.0_ </c:formatCode>
                <c:ptCount val="3"/>
                <c:pt idx="1">
                  <c:v>13.920953504774928</c:v>
                </c:pt>
                <c:pt idx="2">
                  <c:v>18.920953504774928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9D6B-4AA7-952C-F8DFFD910C56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927159041002527E-2"/>
                  <c:y val="5.02710664576461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第16話!$AC$69:$AE$69</c:f>
              <c:numCache>
                <c:formatCode>0.0_ </c:formatCode>
                <c:ptCount val="3"/>
                <c:pt idx="1">
                  <c:v>14.020599913279625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9D6B-4AA7-952C-F8DFFD910C56}"/>
            </c:ext>
          </c:extLst>
        </c:ser>
        <c:ser>
          <c:idx val="15"/>
          <c:order val="15"/>
          <c:tx>
            <c:strRef>
              <c:f>第16話!$F$73:$G$73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4825925303286797E-2"/>
                  <c:y val="-5.585674050849606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第16話!$AC$73:$AE$73</c:f>
              <c:numCache>
                <c:formatCode>0.0_ </c:formatCode>
                <c:ptCount val="3"/>
                <c:pt idx="2">
                  <c:v>109.02059991327963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9D6B-4AA7-952C-F8DFFD910C56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71666386479058"/>
                  <c:y val="-4.46853924067965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第16話!$AC$80:$AE$80</c:f>
              <c:numCache>
                <c:formatCode>0.0_ </c:formatCode>
                <c:ptCount val="3"/>
                <c:pt idx="1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9D6B-4AA7-952C-F8DFFD91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第16話!$F$70:$G$70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第16話!$AC$70:$AE$70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-105.97940008672037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9D6B-4AA7-952C-F8DFFD910C56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5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3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0"/>
          <c:min val="-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5289355097E-2"/>
          <c:w val="0.36447152330982158"/>
          <c:h val="0.81687651673407902"/>
        </c:manualLayout>
      </c:layout>
      <c:lineChart>
        <c:grouping val="standard"/>
        <c:varyColors val="0"/>
        <c:ser>
          <c:idx val="2"/>
          <c:order val="2"/>
          <c:tx>
            <c:strRef>
              <c:f>第19話!$F$60:$G$60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31837189959836E-2"/>
                  <c:y val="5.1540612836149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62-4459-812B-1A8D51827E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第19話!$L$60:$M$60</c:f>
              <c:numCache>
                <c:formatCode>0.0_ </c:formatCode>
                <c:ptCount val="2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562-4459-812B-1A8D51827EC1}"/>
            </c:ext>
          </c:extLst>
        </c:ser>
        <c:ser>
          <c:idx val="6"/>
          <c:order val="6"/>
          <c:tx>
            <c:strRef>
              <c:f>第19話!$F$63:$G$63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744150910784274"/>
                  <c:y val="-4.084667774883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第19話!$L$63:$M$63</c:f>
              <c:numCache>
                <c:formatCode>0.0_ </c:formatCode>
                <c:ptCount val="2"/>
                <c:pt idx="0">
                  <c:v>-48.164799306236993</c:v>
                </c:pt>
                <c:pt idx="1">
                  <c:v>-48.164789781845712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562-4459-812B-1A8D51827EC1}"/>
            </c:ext>
          </c:extLst>
        </c:ser>
        <c:ser>
          <c:idx val="15"/>
          <c:order val="15"/>
          <c:tx>
            <c:strRef>
              <c:f>第19話!$F$73:$G$73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第19話!$L$73:$M$73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562-4459-812B-1A8D51827EC1}"/>
            </c:ext>
          </c:extLst>
        </c:ser>
        <c:ser>
          <c:idx val="16"/>
          <c:order val="16"/>
          <c:tx>
            <c:strRef>
              <c:f>第19話!$F$74:$G$74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第19話!$L$74:$M$74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A562-4459-812B-1A8D51827EC1}"/>
            </c:ext>
          </c:extLst>
        </c:ser>
        <c:ser>
          <c:idx val="19"/>
          <c:order val="19"/>
          <c:tx>
            <c:strRef>
              <c:f>第19話!$F$77:$G$77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6150122186376"/>
                  <c:y val="7.72817109851890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第19話!$L$77:$M$77</c:f>
              <c:numCache>
                <c:formatCode>0.0_ </c:formatCode>
                <c:ptCount val="2"/>
                <c:pt idx="0">
                  <c:v>-48.164799306236993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A562-4459-812B-1A8D51827EC1}"/>
            </c:ext>
          </c:extLst>
        </c:ser>
        <c:ser>
          <c:idx val="26"/>
          <c:order val="25"/>
          <c:tx>
            <c:strRef>
              <c:f>第19話!$F$83:$G$83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第19話!$L$83:$M$83</c:f>
              <c:numCache>
                <c:formatCode>0.0_ 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562-4459-812B-1A8D5182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第19話!$L$57:$M$57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5.9794000867203749</c:v>
                      </c:pt>
                      <c:pt idx="1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A562-4459-812B-1A8D51827EC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第19話!$L$61:$M$61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A562-4459-812B-1A8D51827EC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第19話!$L$58:$M$58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A562-4459-812B-1A8D51827EC1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第19話!$L$64:$M$64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562-4459-812B-1A8D51827EC1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第19話!$L$68:$M$68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-103.85904649522507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562-4459-812B-1A8D51827EC1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第19話!$L$71:$M$71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562-4459-812B-1A8D51827EC1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第19話!$L$72:$M$72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562-4459-812B-1A8D51827EC1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第19話!$L$75:$M$75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A562-4459-812B-1A8D51827EC1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第19話!$L$76:$M$76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562-4459-812B-1A8D51827EC1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第19話!$L$78:$M$78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562-4459-812B-1A8D51827EC1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第19話!$L$79:$M$79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562-4459-812B-1A8D51827EC1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第19話!$L$81:$M$81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562-4459-812B-1A8D51827EC1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第19話!$L$82:$M$82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562-4459-812B-1A8D51827EC1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第19話!$L$84:$M$84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562-4459-812B-1A8D51827E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8024569994235977E-2"/>
                  <c:y val="5.15464143842069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第19話!$L$59:$M$59</c:f>
              <c:numCache>
                <c:formatCode>0.0_ </c:formatCode>
                <c:ptCount val="2"/>
                <c:pt idx="1">
                  <c:v>108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A562-4459-812B-1A8D51827EC1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497470236611"/>
                  <c:y val="-3.87020696987485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第19話!$L$62:$M$62</c:f>
              <c:numCache>
                <c:formatCode>0.0_ </c:formatCode>
                <c:ptCount val="2"/>
                <c:pt idx="1">
                  <c:v>65.814610304874662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A562-4459-812B-1A8D51827EC1}"/>
            </c:ext>
          </c:extLst>
        </c:ser>
        <c:ser>
          <c:idx val="8"/>
          <c:order val="8"/>
          <c:tx>
            <c:strRef>
              <c:f>第19話!$F$66:$G$66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502090895583"/>
                  <c:y val="5.15406128361490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第19話!$L$66:$M$66</c:f>
              <c:numCache>
                <c:formatCode>0.0_ </c:formatCode>
                <c:ptCount val="2"/>
                <c:pt idx="1">
                  <c:v>3.1309535047749222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A562-4459-812B-1A8D51827EC1}"/>
            </c:ext>
          </c:extLst>
        </c:ser>
        <c:ser>
          <c:idx val="9"/>
          <c:order val="9"/>
          <c:tx>
            <c:strRef>
              <c:f>第19話!$F$67:$G$67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第19話!$L$67:$M$67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A562-4459-812B-1A8D51827EC1}"/>
            </c:ext>
          </c:extLst>
        </c:ser>
        <c:ser>
          <c:idx val="11"/>
          <c:order val="11"/>
          <c:tx>
            <c:strRef>
              <c:f>第19話!$F$69:$G$69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25397964874498"/>
                  <c:y val="-7.0868342649704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第19話!$L$69:$M$69</c:f>
              <c:numCache>
                <c:formatCode>0.0_ </c:formatCode>
                <c:ptCount val="2"/>
                <c:pt idx="1">
                  <c:v>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A562-4459-812B-1A8D51827EC1}"/>
            </c:ext>
          </c:extLst>
        </c:ser>
        <c:ser>
          <c:idx val="12"/>
          <c:order val="12"/>
          <c:tx>
            <c:strRef>
              <c:f>第19話!$F$70:$G$70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第19話!$L$70:$M$70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A562-4459-812B-1A8D51827EC1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3130245330461853E-2"/>
                  <c:y val="-7.5163393719384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第19話!$L$80:$M$80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A562-4459-812B-1A8D5182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3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42.99"/>
          <c:min val="-157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音声入力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40325478617333"/>
          <c:y val="7.0529703586883652E-2"/>
          <c:w val="0.48917029949851021"/>
          <c:h val="0.81467814237666425"/>
        </c:manualLayout>
      </c:layou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EE-4E3F-A1BB-0028D3E360F6}"/>
              </c:ext>
            </c:extLst>
          </c:dPt>
          <c:dLbls>
            <c:dLbl>
              <c:idx val="1"/>
              <c:layout>
                <c:manualLayout>
                  <c:x val="-0.22315400099049409"/>
                  <c:y val="-2.4204587553681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第19話!$H$59:$J$59</c:f>
              <c:numCache>
                <c:formatCode>0.0_ </c:formatCode>
                <c:ptCount val="3"/>
                <c:pt idx="0">
                  <c:v>70.020599913279625</c:v>
                </c:pt>
                <c:pt idx="1">
                  <c:v>114.02059991327963</c:v>
                </c:pt>
                <c:pt idx="2">
                  <c:v>114.02059991327963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24EE-4E3F-A1BB-0028D3E360F6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4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EE-4E3F-A1BB-0028D3E360F6}"/>
              </c:ext>
            </c:extLst>
          </c:dPt>
          <c:dLbls>
            <c:dLbl>
              <c:idx val="1"/>
              <c:layout>
                <c:manualLayout>
                  <c:x val="-0.11157700049524708"/>
                  <c:y val="-4.6547283757079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第19話!$H$62:$J$62</c:f>
              <c:numCache>
                <c:formatCode>0.0_ </c:formatCode>
                <c:ptCount val="3"/>
                <c:pt idx="0">
                  <c:v>20.020599913279618</c:v>
                </c:pt>
                <c:pt idx="1">
                  <c:v>64.022289323811165</c:v>
                </c:pt>
                <c:pt idx="2">
                  <c:v>64.052413737978512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24EE-4E3F-A1BB-0028D3E360F6}"/>
            </c:ext>
          </c:extLst>
        </c:ser>
        <c:ser>
          <c:idx val="8"/>
          <c:order val="8"/>
          <c:tx>
            <c:strRef>
              <c:f>第19話!$F$66:$G$66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44451899542311"/>
                  <c:y val="5.027106645764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第19話!$H$66:$J$66</c:f>
              <c:numCache>
                <c:formatCode>0.0_ </c:formatCode>
                <c:ptCount val="3"/>
                <c:pt idx="0">
                  <c:v>20.020599913279618</c:v>
                </c:pt>
                <c:pt idx="1">
                  <c:v>29.920953504774928</c:v>
                </c:pt>
                <c:pt idx="2">
                  <c:v>-6.0790464952250716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24EE-4E3F-A1BB-0028D3E360F6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384666996831411E-2"/>
                  <c:y val="-3.90997183559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第19話!$H$80:$J$80</c:f>
              <c:numCache>
                <c:formatCode>0.0_ </c:formatCode>
                <c:ptCount val="3"/>
                <c:pt idx="0">
                  <c:v>140</c:v>
                </c:pt>
                <c:pt idx="1">
                  <c:v>123.52182518111363</c:v>
                </c:pt>
                <c:pt idx="2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24EE-4E3F-A1BB-0028D3E360F6}"/>
            </c:ext>
          </c:extLst>
        </c:ser>
        <c:ser>
          <c:idx val="26"/>
          <c:order val="25"/>
          <c:tx>
            <c:strRef>
              <c:f>第19話!$F$83:$G$83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0914592996127253E-2"/>
                  <c:y val="6.144241455934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第19話!$H$83:$J$83</c:f>
              <c:numCache>
                <c:formatCode>0.0_ </c:formatCode>
                <c:ptCount val="3"/>
                <c:pt idx="0">
                  <c:v>-16.079046495225072</c:v>
                </c:pt>
                <c:pt idx="1">
                  <c:v>-16.079046495225072</c:v>
                </c:pt>
                <c:pt idx="2">
                  <c:v>-16.079046495225072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4EE-4E3F-A1BB-0028D3E36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第19話!$H$57:$J$57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69.979400086720375</c:v>
                      </c:pt>
                      <c:pt idx="1">
                        <c:v>9.5012252678340019</c:v>
                      </c:pt>
                      <c:pt idx="2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24EE-4E3F-A1BB-0028D3E360F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第19話!$H$61:$J$61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-47.759400086720376</c:v>
                      </c:pt>
                      <c:pt idx="1">
                        <c:v>-3.7594000867203761</c:v>
                      </c:pt>
                      <c:pt idx="2">
                        <c:v>-3.7594000867203761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4EE-4E3F-A1BB-0028D3E360F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第19話!$H$58:$J$58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44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4EE-4E3F-A1BB-0028D3E360F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第19話!$H$64:$J$64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-53.757710676188836</c:v>
                      </c:pt>
                      <c:pt idx="2">
                        <c:v>-53.727586262021489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4EE-4E3F-A1BB-0028D3E360F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第19話!$H$68:$J$68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-87.859046495225073</c:v>
                      </c:pt>
                      <c:pt idx="2">
                        <c:v>-123.85904649522507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24EE-4E3F-A1BB-0028D3E360F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第19話!$H$71:$J$71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24EE-4E3F-A1BB-0028D3E360F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第19話!$H$72:$J$72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24EE-4E3F-A1BB-0028D3E360F6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第19話!$H$73:$J$73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24EE-4E3F-A1BB-0028D3E360F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第19話!$H$74:$J$74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24EE-4E3F-A1BB-0028D3E360F6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第19話!$H$75:$J$75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24EE-4E3F-A1BB-0028D3E360F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第19話!$H$76:$J$76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24EE-4E3F-A1BB-0028D3E360F6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第19話!$H$78:$J$78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24EE-4E3F-A1BB-0028D3E360F6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第19話!$H$79:$J$79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2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24EE-4E3F-A1BB-0028D3E360F6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第19話!$H$81:$J$81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24EE-4E3F-A1BB-0028D3E360F6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第19話!$H$82:$J$82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24EE-4E3F-A1BB-0028D3E360F6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第19話!$H$84:$J$84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-133.85904649522507</c:v>
                      </c:pt>
                      <c:pt idx="1">
                        <c:v>-133.85904649522507</c:v>
                      </c:pt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24EE-4E3F-A1BB-0028D3E360F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第19話!$F$60:$G$60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715717137165448E-2"/>
                  <c:y val="-3.27626856233236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第19話!$H$60:$J$60</c:f>
              <c:numCache>
                <c:formatCode>0.0_ </c:formatCode>
                <c:ptCount val="3"/>
                <c:pt idx="2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24EE-4E3F-A1BB-0028D3E360F6}"/>
            </c:ext>
          </c:extLst>
        </c:ser>
        <c:ser>
          <c:idx val="6"/>
          <c:order val="6"/>
          <c:tx>
            <c:strRef>
              <c:f>第19話!$F$63:$G$63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825880473107399E-2"/>
                  <c:y val="-3.33181273032556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第19話!$H$63:$J$63</c:f>
              <c:numCache>
                <c:formatCode>0.0_ </c:formatCode>
                <c:ptCount val="3"/>
                <c:pt idx="2">
                  <c:v>-55.947586262021488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24EE-4E3F-A1BB-0028D3E360F6}"/>
            </c:ext>
          </c:extLst>
        </c:ser>
        <c:ser>
          <c:idx val="9"/>
          <c:order val="9"/>
          <c:tx>
            <c:strRef>
              <c:f>第19話!$F$67:$G$67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9637343605655793E-2"/>
                  <c:y val="3.76632722039293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第19話!$H$67:$J$67</c:f>
              <c:numCache>
                <c:formatCode>0.0_ </c:formatCode>
                <c:ptCount val="3"/>
                <c:pt idx="2">
                  <c:v>-126.07904649522507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24EE-4E3F-A1BB-0028D3E360F6}"/>
            </c:ext>
          </c:extLst>
        </c:ser>
        <c:ser>
          <c:idx val="12"/>
          <c:order val="12"/>
          <c:tx>
            <c:strRef>
              <c:f>第19話!$F$70:$G$70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1944543057519645E-2"/>
                  <c:y val="-6.364726662160181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第19話!$H$70:$J$70</c:f>
              <c:numCache>
                <c:formatCode>0.0_ </c:formatCode>
                <c:ptCount val="3"/>
                <c:pt idx="2">
                  <c:v>-105.97940008672037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24EE-4E3F-A1BB-0028D3E360F6}"/>
            </c:ext>
          </c:extLst>
        </c:ser>
        <c:ser>
          <c:idx val="19"/>
          <c:order val="19"/>
          <c:tx>
            <c:strRef>
              <c:f>第19話!$F$77:$G$77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3.795535540915055E-2"/>
                  <c:y val="5.027113543688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第19話!$H$77:$J$77</c:f>
              <c:numCache>
                <c:formatCode>0.0_ </c:formatCode>
                <c:ptCount val="3"/>
                <c:pt idx="2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24EE-4E3F-A1BB-0028D3E36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第19話!$F$69:$G$69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第19話!$H$69:$J$69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24EE-4E3F-A1BB-0028D3E360F6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30"/>
          <c:min val="-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復調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03586883652E-2"/>
          <c:w val="0.36447152330982158"/>
          <c:h val="0.81687878940154535"/>
        </c:manualLayout>
      </c:layou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009841498938997E-2"/>
                  <c:y val="-5.02710664576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第19話!$Z$59:$AA$59</c:f>
              <c:numCache>
                <c:formatCode>0.0_ </c:formatCode>
                <c:ptCount val="2"/>
                <c:pt idx="0">
                  <c:v>71.3</c:v>
                </c:pt>
                <c:pt idx="1">
                  <c:v>71.3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545-438B-9A12-FCE960166B41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41862632413873E-2"/>
                  <c:y val="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第19話!$Z$62:$AA$62</c:f>
              <c:numCache>
                <c:formatCode>0.0_ </c:formatCode>
                <c:ptCount val="2"/>
                <c:pt idx="0">
                  <c:v>53.349195920508961</c:v>
                </c:pt>
                <c:pt idx="1">
                  <c:v>53.349195920508961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545-438B-9A12-FCE960166B41}"/>
            </c:ext>
          </c:extLst>
        </c:ser>
        <c:ser>
          <c:idx val="8"/>
          <c:order val="8"/>
          <c:tx>
            <c:strRef>
              <c:f>第19話!$F$66:$G$66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1556386268823522"/>
                  <c:y val="3.9099750955279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第19話!$Z$66:$AA$66</c:f>
              <c:numCache>
                <c:formatCode>0.0_ </c:formatCode>
                <c:ptCount val="2"/>
                <c:pt idx="0">
                  <c:v>2.1409535047749273</c:v>
                </c:pt>
                <c:pt idx="1">
                  <c:v>6.1409535047749273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D545-438B-9A12-FCE960166B41}"/>
            </c:ext>
          </c:extLst>
        </c:ser>
        <c:ser>
          <c:idx val="11"/>
          <c:order val="11"/>
          <c:tx>
            <c:strRef>
              <c:f>第19話!$F$69:$G$69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39894332625998E-2"/>
                  <c:y val="-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第19話!$Z$69:$AA$69</c:f>
              <c:numCache>
                <c:formatCode>0.0_ </c:formatCode>
                <c:ptCount val="2"/>
                <c:pt idx="0">
                  <c:v>1.2999999999999972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D545-438B-9A12-FCE960166B41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81756965039829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第19話!$Z$80:$AA$80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D545-438B-9A12-FCE960166B41}"/>
            </c:ext>
          </c:extLst>
        </c:ser>
        <c:ser>
          <c:idx val="26"/>
          <c:order val="25"/>
          <c:tx>
            <c:strRef>
              <c:f>第19話!$F$83:$G$83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38342076711585643"/>
                  <c:y val="5.43411234754569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24087955713915"/>
                      <c:h val="5.7351135072945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第19話!$Z$83:$AA$83</c:f>
              <c:numCache>
                <c:formatCode>0.0_ </c:formatCode>
                <c:ptCount val="2"/>
                <c:pt idx="0">
                  <c:v>-13.859046495225073</c:v>
                </c:pt>
                <c:pt idx="1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45-438B-9A12-FCE960166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第19話!$Z$57:$AA$57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42.679400086720378</c:v>
                      </c:pt>
                      <c:pt idx="1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D545-438B-9A12-FCE960166B4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第19話!$Z$61:$AA$61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D545-438B-9A12-FCE960166B4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第19話!$Z$58:$AA$58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6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D545-438B-9A12-FCE960166B41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第19話!$Z$64:$AA$64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D545-438B-9A12-FCE960166B41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第19話!$Z$68:$AA$68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-117.85904649522507</c:v>
                      </c:pt>
                      <c:pt idx="1">
                        <c:v>-113.85904649522507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D545-438B-9A12-FCE960166B41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第19話!$Z$71:$AA$71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D545-438B-9A12-FCE960166B41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第19話!$Z$72:$AA$72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70</c:v>
                      </c:pt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D545-438B-9A12-FCE960166B41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第19話!$Z$73:$AA$73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D545-438B-9A12-FCE960166B41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第19話!$Z$74:$AA$74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D545-438B-9A12-FCE960166B41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第19話!$Z$75:$AA$75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D545-438B-9A12-FCE960166B41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第19話!$Z$76:$AA$76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545-438B-9A12-FCE960166B41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第19話!$Z$78:$AA$78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D545-438B-9A12-FCE960166B41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第19話!$Z$79:$AA$79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D545-438B-9A12-FCE960166B41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第19話!$Z$81:$AA$81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D545-438B-9A12-FCE960166B41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第19話!$Z$82:$AA$82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D545-438B-9A12-FCE960166B41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第19話!$Z$84:$AA$84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-133.85904649522507</c:v>
                      </c:pt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D545-438B-9A12-FCE960166B4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第19話!$F$60:$G$60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05904899363471E-2"/>
                  <c:y val="-4.654728375707976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第19話!$Z$60:$AA$60</c:f>
              <c:numCache>
                <c:formatCode>0.0_ </c:formatCode>
                <c:ptCount val="2"/>
                <c:pt idx="1">
                  <c:v>-42.679400086720378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D545-438B-9A12-FCE960166B41}"/>
            </c:ext>
          </c:extLst>
        </c:ser>
        <c:ser>
          <c:idx val="6"/>
          <c:order val="6"/>
          <c:tx>
            <c:strRef>
              <c:f>第19話!$F$63:$G$63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8.9450480118182851E-2"/>
                  <c:y val="4.476310272536687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第19話!$Z$63:$AA$63</c:f>
              <c:numCache>
                <c:formatCode>0.0_ </c:formatCode>
                <c:ptCount val="2"/>
                <c:pt idx="1">
                  <c:v>-60.34070369083171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D545-438B-9A12-FCE960166B41}"/>
            </c:ext>
          </c:extLst>
        </c:ser>
        <c:ser>
          <c:idx val="9"/>
          <c:order val="9"/>
          <c:tx>
            <c:strRef>
              <c:f>第19話!$F$67:$G$67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607873199151276E-2"/>
                  <c:y val="-5.21329578079293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第19話!$Z$52:$AB$52</c:f>
              <c:strCache>
                <c:ptCount val="3"/>
                <c:pt idx="0">
                  <c:v>I-Q
DEM</c:v>
                </c:pt>
                <c:pt idx="1">
                  <c:v>ADC</c:v>
                </c:pt>
                <c:pt idx="2">
                  <c:v>QPSK
復調</c:v>
                </c:pt>
              </c:strCache>
            </c:strRef>
          </c:cat>
          <c:val>
            <c:numRef>
              <c:f>第19話!$Z$67:$AA$67</c:f>
              <c:numCache>
                <c:formatCode>0.0_ </c:formatCode>
                <c:ptCount val="2"/>
                <c:pt idx="1">
                  <c:v>-107.83844658194545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D545-438B-9A12-FCE960166B41}"/>
            </c:ext>
          </c:extLst>
        </c:ser>
        <c:ser>
          <c:idx val="12"/>
          <c:order val="12"/>
          <c:tx>
            <c:strRef>
              <c:f>第19話!$F$70:$G$70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0.11161771469809027"/>
                  <c:y val="3.3514044305097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第19話!$Z$70:$AA$70</c:f>
              <c:numCache>
                <c:formatCode>0.0_ </c:formatCode>
                <c:ptCount val="2"/>
                <c:pt idx="1">
                  <c:v>-142.67940008672036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D545-438B-9A12-FCE960166B41}"/>
            </c:ext>
          </c:extLst>
        </c:ser>
        <c:ser>
          <c:idx val="19"/>
          <c:order val="19"/>
          <c:tx>
            <c:strRef>
              <c:f>第19話!$F$77:$G$77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716360950387784E-2"/>
                  <c:y val="5.76869322152341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D1-401D-A3EA-F0F22F7DF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  <c:extLst xmlns:c15="http://schemas.microsoft.com/office/drawing/2012/chart"/>
            </c:strRef>
          </c:cat>
          <c:val>
            <c:numRef>
              <c:f>第19話!$Z$77:$AA$77</c:f>
              <c:numCache>
                <c:formatCode>0.0_ </c:formatCode>
                <c:ptCount val="2"/>
                <c:pt idx="1">
                  <c:v>-72.247198959355487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F-D545-438B-9A12-FCE960166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6.99"/>
          <c:min val="-43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42.99"/>
          <c:min val="-157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音声出力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478754802378484"/>
          <c:y val="7.0529703586883652E-2"/>
          <c:w val="0.48917029949851021"/>
          <c:h val="0.81694168978501236"/>
        </c:manualLayout>
      </c:layout>
      <c:lineChart>
        <c:grouping val="standard"/>
        <c:varyColors val="0"/>
        <c:ser>
          <c:idx val="2"/>
          <c:order val="2"/>
          <c:tx>
            <c:strRef>
              <c:f>第19話!$F$60:$G$60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477775909860391E-2"/>
                  <c:y val="-5.958052320906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第19話!$AC$60:$AE$60</c:f>
              <c:numCache>
                <c:formatCode>0.0_ </c:formatCode>
                <c:ptCount val="3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AB55-4E5A-8244-03EB56A0406B}"/>
            </c:ext>
          </c:extLst>
        </c:ser>
        <c:ser>
          <c:idx val="6"/>
          <c:order val="6"/>
          <c:tx>
            <c:strRef>
              <c:f>第19話!$F$63:$G$63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8537076706541936"/>
                  <c:y val="-7.3111057807627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第19話!$AC$63:$AE$63</c:f>
              <c:numCache>
                <c:formatCode>0.0_ </c:formatCode>
                <c:ptCount val="3"/>
                <c:pt idx="0">
                  <c:v>-55.947586262021488</c:v>
                </c:pt>
                <c:pt idx="1">
                  <c:v>-55.947501015842761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B55-4E5A-8244-03EB56A0406B}"/>
            </c:ext>
          </c:extLst>
        </c:ser>
        <c:ser>
          <c:idx val="9"/>
          <c:order val="9"/>
          <c:tx>
            <c:strRef>
              <c:f>第19話!$F$67:$G$67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43030772367069586"/>
                  <c:y val="-1.95229725898951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第19話!$AC$67:$AE$67</c:f>
              <c:numCache>
                <c:formatCode>0.0_ </c:formatCode>
                <c:ptCount val="3"/>
                <c:pt idx="1">
                  <c:v>-106.07904649522507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B55-4E5A-8244-03EB56A0406B}"/>
            </c:ext>
          </c:extLst>
        </c:ser>
        <c:ser>
          <c:idx val="19"/>
          <c:order val="19"/>
          <c:tx>
            <c:strRef>
              <c:f>第19話!$F$77:$G$77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0608856100577647"/>
                  <c:y val="4.8271091824941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第19話!$AC$77:$AE$77</c:f>
              <c:numCache>
                <c:formatCode>0.0_ </c:formatCode>
                <c:ptCount val="3"/>
                <c:pt idx="0">
                  <c:v>-72.247198959355487</c:v>
                </c:pt>
                <c:pt idx="1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AB55-4E5A-8244-03EB56A0406B}"/>
            </c:ext>
          </c:extLst>
        </c:ser>
        <c:ser>
          <c:idx val="26"/>
          <c:order val="25"/>
          <c:tx>
            <c:strRef>
              <c:f>第19話!$F$83:$G$83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第19話!$AA$83:$AC$83</c:f>
              <c:numCache>
                <c:formatCode>0.0_ </c:formatCode>
                <c:ptCount val="3"/>
                <c:pt idx="0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B55-4E5A-8244-03EB56A0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第19話!$AC$57:$AE$57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5.9794000867203749</c:v>
                      </c:pt>
                      <c:pt idx="1">
                        <c:v>5.9794000867203749</c:v>
                      </c:pt>
                      <c:pt idx="2">
                        <c:v>5.7594000867203761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AB55-4E5A-8244-03EB56A0406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第19話!$AC$61:$AE$61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-3.7594000867203761</c:v>
                      </c:pt>
                      <c:pt idx="2">
                        <c:v>21.240599913279624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B55-4E5A-8244-03EB56A0406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第19話!$AC$58:$AE$58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AB55-4E5A-8244-03EB56A0406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第19話!$AC$64:$AE$64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-53.727501015842762</c:v>
                      </c:pt>
                      <c:pt idx="2">
                        <c:v>-8.7158693611306042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AB55-4E5A-8244-03EB56A0406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第19話!$AC$68:$AE$68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-103.85904649522507</c:v>
                      </c:pt>
                      <c:pt idx="2">
                        <c:v>-98.859046495225073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B55-4E5A-8244-03EB56A0406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第19話!$AC$71:$AE$71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B55-4E5A-8244-03EB56A0406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第19話!$AC$72:$AE$72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B55-4E5A-8244-03EB56A0406B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第19話!$AC$74:$AE$74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-8.7594000867203761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AB55-4E5A-8244-03EB56A0406B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第19話!$AC$75:$AE$75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B55-4E5A-8244-03EB56A0406B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第19話!$AC$76:$AE$76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12</c:v>
                      </c:pt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B55-4E5A-8244-03EB56A0406B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第19話!$AC$78:$AE$78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B55-4E5A-8244-03EB56A0406B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第19話!$AC$79:$AE$79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B55-4E5A-8244-03EB56A0406B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第19話!$AC$81:$AE$81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B55-4E5A-8244-03EB56A0406B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第19話!$AC$82:$AE$82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B55-4E5A-8244-03EB56A0406B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第19話!$AC$84:$AE$84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AB55-4E5A-8244-03EB56A0406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6202467475431459E-2"/>
                  <c:y val="5.0271066457646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第19話!$AC$59:$AE$59</c:f>
              <c:numCache>
                <c:formatCode>0.0_ </c:formatCode>
                <c:ptCount val="3"/>
                <c:pt idx="1">
                  <c:v>114.02059991327963</c:v>
                </c:pt>
                <c:pt idx="2">
                  <c:v>139.02059991327963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AB55-4E5A-8244-03EB56A0406B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825925303286797E-2"/>
                  <c:y val="3.72378270056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第19話!$AC$62:$AE$62</c:f>
              <c:numCache>
                <c:formatCode>0.0_ </c:formatCode>
                <c:ptCount val="3"/>
                <c:pt idx="1">
                  <c:v>64.052498984157239</c:v>
                </c:pt>
                <c:pt idx="2">
                  <c:v>109.0641306388694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AB55-4E5A-8244-03EB56A0406B}"/>
            </c:ext>
          </c:extLst>
        </c:ser>
        <c:ser>
          <c:idx val="8"/>
          <c:order val="8"/>
          <c:tx>
            <c:strRef>
              <c:f>第19話!$F$66:$G$66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8.6914184707796424E-2"/>
                  <c:y val="-2.6131593147555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第19話!$AC$66:$AE$66</c:f>
              <c:numCache>
                <c:formatCode>0.0_ </c:formatCode>
                <c:ptCount val="3"/>
                <c:pt idx="1">
                  <c:v>13.920953504774928</c:v>
                </c:pt>
                <c:pt idx="2">
                  <c:v>18.920953504774928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AB55-4E5A-8244-03EB56A0406B}"/>
            </c:ext>
          </c:extLst>
        </c:ser>
        <c:ser>
          <c:idx val="11"/>
          <c:order val="11"/>
          <c:tx>
            <c:strRef>
              <c:f>第19話!$F$69:$G$69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927159041002527E-2"/>
                  <c:y val="5.02710664576461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第19話!$AC$69:$AE$69</c:f>
              <c:numCache>
                <c:formatCode>0.0_ </c:formatCode>
                <c:ptCount val="3"/>
                <c:pt idx="1">
                  <c:v>14.020599913279625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AB55-4E5A-8244-03EB56A0406B}"/>
            </c:ext>
          </c:extLst>
        </c:ser>
        <c:ser>
          <c:idx val="15"/>
          <c:order val="15"/>
          <c:tx>
            <c:strRef>
              <c:f>第19話!$F$73:$G$73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4825925303286797E-2"/>
                  <c:y val="-5.585674050849606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第19話!$AC$73:$AE$73</c:f>
              <c:numCache>
                <c:formatCode>0.0_ </c:formatCode>
                <c:ptCount val="3"/>
                <c:pt idx="2">
                  <c:v>109.02059991327963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AB55-4E5A-8244-03EB56A0406B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71666386479058"/>
                  <c:y val="-4.46853924067965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第19話!$AC$80:$AE$80</c:f>
              <c:numCache>
                <c:formatCode>0.0_ </c:formatCode>
                <c:ptCount val="3"/>
                <c:pt idx="1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AB55-4E5A-8244-03EB56A0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第19話!$F$70:$G$70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第19話!$AC$70:$AE$70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-105.97940008672037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AB55-4E5A-8244-03EB56A0406B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5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3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0"/>
          <c:min val="-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無線区間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1856581216726"/>
          <c:y val="7.084295885093353E-2"/>
          <c:w val="0.76993102948175596"/>
          <c:h val="0.81686319225888904"/>
        </c:manualLayout>
      </c:layout>
      <c:lineChart>
        <c:grouping val="standard"/>
        <c:varyColors val="0"/>
        <c:ser>
          <c:idx val="3"/>
          <c:order val="3"/>
          <c:tx>
            <c:strRef>
              <c:f>第18話!$F$61:$G$61</c:f>
              <c:strCache>
                <c:ptCount val="2"/>
                <c:pt idx="0">
                  <c:v>レベル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4576634840376225E-2"/>
                  <c:y val="-1.3033239451982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第18話!$M$61:$Z$61</c:f>
              <c:numCache>
                <c:formatCode>0.0_ </c:formatCode>
                <c:ptCount val="14"/>
                <c:pt idx="1">
                  <c:v>-4.9899999999999949</c:v>
                </c:pt>
                <c:pt idx="2">
                  <c:v>-24.989999999999995</c:v>
                </c:pt>
                <c:pt idx="3">
                  <c:v>5.0100000000000051</c:v>
                </c:pt>
                <c:pt idx="4">
                  <c:v>35.010000000000005</c:v>
                </c:pt>
                <c:pt idx="5">
                  <c:v>29.010000000000005</c:v>
                </c:pt>
                <c:pt idx="6">
                  <c:v>31.160000000000004</c:v>
                </c:pt>
                <c:pt idx="7" formatCode="0_ ">
                  <c:v>-111.84</c:v>
                </c:pt>
                <c:pt idx="8">
                  <c:v>-109.69</c:v>
                </c:pt>
                <c:pt idx="9">
                  <c:v>-111.69</c:v>
                </c:pt>
                <c:pt idx="10">
                  <c:v>-71.69</c:v>
                </c:pt>
                <c:pt idx="11">
                  <c:v>-91.69</c:v>
                </c:pt>
                <c:pt idx="12">
                  <c:v>-41.69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0-435D-8EB9-F7D7CF3DEC55}"/>
            </c:ext>
          </c:extLst>
        </c:ser>
        <c:ser>
          <c:idx val="7"/>
          <c:order val="7"/>
          <c:tx>
            <c:strRef>
              <c:f>第18話!$F$64:$G$64</c:f>
              <c:strCache>
                <c:ptCount val="2"/>
                <c:pt idx="0">
                  <c:v>等価雑音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2.1055139213876854E-2"/>
                  <c:y val="-2.9790261604531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第18話!$M$64:$Z$64</c:f>
              <c:numCache>
                <c:formatCode>0.0_ </c:formatCode>
                <c:ptCount val="14"/>
                <c:pt idx="1">
                  <c:v>-46.510626643559299</c:v>
                </c:pt>
                <c:pt idx="2">
                  <c:v>-65.917140822142755</c:v>
                </c:pt>
                <c:pt idx="3">
                  <c:v>-35.916382645857688</c:v>
                </c:pt>
                <c:pt idx="4">
                  <c:v>10.11956112826806</c:v>
                </c:pt>
                <c:pt idx="5">
                  <c:v>4.1195611282680602</c:v>
                </c:pt>
                <c:pt idx="6">
                  <c:v>6.2695611282680606</c:v>
                </c:pt>
                <c:pt idx="7" formatCode="0_ ">
                  <c:v>-136.73043887173193</c:v>
                </c:pt>
                <c:pt idx="8">
                  <c:v>-134.58043887173193</c:v>
                </c:pt>
                <c:pt idx="9">
                  <c:v>-136.58043887173193</c:v>
                </c:pt>
                <c:pt idx="10">
                  <c:v>-89.828432999354817</c:v>
                </c:pt>
                <c:pt idx="11">
                  <c:v>-109.80848180284309</c:v>
                </c:pt>
                <c:pt idx="12">
                  <c:v>-59.640864055520346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D0-435D-8EB9-F7D7CF3DEC55}"/>
            </c:ext>
          </c:extLst>
        </c:ser>
        <c:ser>
          <c:idx val="10"/>
          <c:order val="10"/>
          <c:tx>
            <c:strRef>
              <c:f>第18話!$F$68:$G$68</c:f>
              <c:strCache>
                <c:ptCount val="2"/>
                <c:pt idx="0">
                  <c:v>熱雑音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7815887027126567E-2"/>
                  <c:y val="1.861891350283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第18話!$M$68:$Z$68</c:f>
              <c:numCache>
                <c:formatCode>0.0_ </c:formatCode>
                <c:ptCount val="14"/>
                <c:pt idx="0">
                  <c:v>-103.85904649522507</c:v>
                </c:pt>
                <c:pt idx="1">
                  <c:v>-103.85904649522507</c:v>
                </c:pt>
                <c:pt idx="2">
                  <c:v>-113.85904649522507</c:v>
                </c:pt>
                <c:pt idx="3">
                  <c:v>-78.859046495225073</c:v>
                </c:pt>
                <c:pt idx="4">
                  <c:v>-78.859046495225073</c:v>
                </c:pt>
                <c:pt idx="10">
                  <c:v>-90.859046495225073</c:v>
                </c:pt>
                <c:pt idx="11">
                  <c:v>-133.85904649522507</c:v>
                </c:pt>
                <c:pt idx="12">
                  <c:v>-73.859046495225073</c:v>
                </c:pt>
                <c:pt idx="13">
                  <c:v>-117.85904649522507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D0-435D-8EB9-F7D7CF3DEC55}"/>
            </c:ext>
          </c:extLst>
        </c:ser>
        <c:ser>
          <c:idx val="13"/>
          <c:order val="13"/>
          <c:tx>
            <c:strRef>
              <c:f>第18話!$F$71:$G$71</c:f>
              <c:strCache>
                <c:ptCount val="2"/>
                <c:pt idx="0">
                  <c:v>位相雑音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5587406633098129E-2"/>
                  <c:y val="3.8820752633759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第18話!$M$71:$Z$71</c:f>
              <c:numCache>
                <c:formatCode>0.0_ </c:formatCode>
                <c:ptCount val="14"/>
                <c:pt idx="1">
                  <c:v>-54.989999999999995</c:v>
                </c:pt>
                <c:pt idx="2">
                  <c:v>-74.989999999999995</c:v>
                </c:pt>
                <c:pt idx="11">
                  <c:v>-141.69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D0-435D-8EB9-F7D7CF3DEC55}"/>
            </c:ext>
          </c:extLst>
        </c:ser>
        <c:ser>
          <c:idx val="16"/>
          <c:order val="16"/>
          <c:tx>
            <c:strRef>
              <c:f>第18話!$F$74:$G$74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133738265362594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第18話!$M$74:$Z$74</c:f>
              <c:numCache>
                <c:formatCode>0.0_ </c:formatCode>
                <c:ptCount val="14"/>
                <c:pt idx="2">
                  <c:v>-89.99</c:v>
                </c:pt>
                <c:pt idx="3">
                  <c:v>-74.989999999999995</c:v>
                </c:pt>
                <c:pt idx="4">
                  <c:v>10.010000000000005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1D0-435D-8EB9-F7D7CF3DEC55}"/>
            </c:ext>
          </c:extLst>
        </c:ser>
        <c:ser>
          <c:idx val="23"/>
          <c:order val="23"/>
          <c:tx>
            <c:strRef>
              <c:f>第18話!$F$81:$G$81</c:f>
              <c:strCache>
                <c:ptCount val="2"/>
                <c:pt idx="0">
                  <c:v>OP1dB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9435513120501652E-2"/>
                  <c:y val="-2.2342696203398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第18話!$M$81:$Z$81</c:f>
              <c:numCache>
                <c:formatCode>0.0_ </c:formatCode>
                <c:ptCount val="14"/>
                <c:pt idx="1">
                  <c:v>10</c:v>
                </c:pt>
                <c:pt idx="3">
                  <c:v>20</c:v>
                </c:pt>
                <c:pt idx="4">
                  <c:v>43</c:v>
                </c:pt>
                <c:pt idx="10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1D0-435D-8EB9-F7D7CF3DEC55}"/>
            </c:ext>
          </c:extLst>
        </c:ser>
        <c:ser>
          <c:idx val="24"/>
          <c:order val="24"/>
          <c:tx>
            <c:strRef>
              <c:f>第18話!$F$82:$G$82</c:f>
              <c:strCache>
                <c:ptCount val="2"/>
                <c:pt idx="0">
                  <c:v>IP1dB</c:v>
                </c:pt>
                <c:pt idx="1">
                  <c:v>[dBm]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177565602508259E-3"/>
                  <c:y val="3.1652152954814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第18話!$M$82:$Z$82</c:f>
              <c:numCache>
                <c:formatCode>0.0_ </c:formatCode>
                <c:ptCount val="14"/>
                <c:pt idx="1">
                  <c:v>5</c:v>
                </c:pt>
                <c:pt idx="2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1D0-435D-8EB9-F7D7CF3DEC55}"/>
            </c:ext>
          </c:extLst>
        </c:ser>
        <c:ser>
          <c:idx val="25"/>
          <c:order val="25"/>
          <c:tx>
            <c:strRef>
              <c:f>第18話!$F$84:$G$84</c:f>
              <c:strCache>
                <c:ptCount val="2"/>
                <c:pt idx="0">
                  <c:v>背景
熱雑音</c:v>
                </c:pt>
                <c:pt idx="1">
                  <c:v>[dBm]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3165417641630597E-2"/>
                  <c:y val="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第18話!$M$84:$Z$84</c:f>
              <c:numCache>
                <c:formatCode>0.0_ </c:formatCode>
                <c:ptCount val="14"/>
                <c:pt idx="0">
                  <c:v>-133.85904649522507</c:v>
                </c:pt>
                <c:pt idx="1">
                  <c:v>-133.85904649522507</c:v>
                </c:pt>
                <c:pt idx="2">
                  <c:v>-133.85904649522507</c:v>
                </c:pt>
                <c:pt idx="3">
                  <c:v>-133.85904649522507</c:v>
                </c:pt>
                <c:pt idx="4">
                  <c:v>-133.85904649522507</c:v>
                </c:pt>
                <c:pt idx="5">
                  <c:v>-133.85904649522507</c:v>
                </c:pt>
                <c:pt idx="6">
                  <c:v>-133.85904649522507</c:v>
                </c:pt>
                <c:pt idx="7">
                  <c:v>-133.85904649522507</c:v>
                </c:pt>
                <c:pt idx="8">
                  <c:v>-133.85904649522507</c:v>
                </c:pt>
                <c:pt idx="9">
                  <c:v>-133.85904649522507</c:v>
                </c:pt>
                <c:pt idx="10">
                  <c:v>-133.85904649522507</c:v>
                </c:pt>
                <c:pt idx="11">
                  <c:v>-133.85904649522507</c:v>
                </c:pt>
                <c:pt idx="12">
                  <c:v>-133.85904649522507</c:v>
                </c:pt>
                <c:pt idx="13">
                  <c:v>-133.85904649522507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1D0-435D-8EB9-F7D7CF3D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第18話!$M$57:$Z$57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5.9794000867203749</c:v>
                      </c:pt>
                      <c:pt idx="1">
                        <c:v>14.989999999999995</c:v>
                      </c:pt>
                      <c:pt idx="2">
                        <c:v>9.9899999999999949</c:v>
                      </c:pt>
                      <c:pt idx="3">
                        <c:v>14.989999999999995</c:v>
                      </c:pt>
                      <c:pt idx="4">
                        <c:v>7.9899999999999949</c:v>
                      </c:pt>
                      <c:pt idx="10">
                        <c:v>81.69</c:v>
                      </c:pt>
                      <c:pt idx="11">
                        <c:v>71.69</c:v>
                      </c:pt>
                      <c:pt idx="12">
                        <c:v>51.69</c:v>
                      </c:pt>
                      <c:pt idx="13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B1D0-435D-8EB9-F7D7CF3DEC5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第18話!$F$60:$G$60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第18話!$M$60:$Z$60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-5.9794000867203749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1D0-435D-8EB9-F7D7CF3DEC5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第18話!$M$58:$Z$58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0</c:v>
                      </c:pt>
                      <c:pt idx="1">
                        <c:v>-6</c:v>
                      </c:pt>
                      <c:pt idx="2">
                        <c:v>-20</c:v>
                      </c:pt>
                      <c:pt idx="3">
                        <c:v>30</c:v>
                      </c:pt>
                      <c:pt idx="4">
                        <c:v>30</c:v>
                      </c:pt>
                      <c:pt idx="5">
                        <c:v>-6</c:v>
                      </c:pt>
                      <c:pt idx="6">
                        <c:v>2.15</c:v>
                      </c:pt>
                      <c:pt idx="7" formatCode="0_ ">
                        <c:v>-143</c:v>
                      </c:pt>
                      <c:pt idx="8">
                        <c:v>2.15</c:v>
                      </c:pt>
                      <c:pt idx="9">
                        <c:v>-2</c:v>
                      </c:pt>
                      <c:pt idx="10">
                        <c:v>40</c:v>
                      </c:pt>
                      <c:pt idx="11">
                        <c:v>-20</c:v>
                      </c:pt>
                      <c:pt idx="12">
                        <c:v>50</c:v>
                      </c:pt>
                      <c:pt idx="13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1D0-435D-8EB9-F7D7CF3DEC5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第18話!$F$63:$G$63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第18話!$M$63:$Z$63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-48.164789781845712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1D0-435D-8EB9-F7D7CF3DEC5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第18話!$F$67:$G$67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第18話!$M$67:$Z$67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1D0-435D-8EB9-F7D7CF3DEC5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第18話!$M$70:$Z$70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1D0-435D-8EB9-F7D7CF3DEC5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第18話!$M$72:$Z$72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100</c:v>
                      </c:pt>
                      <c:pt idx="1">
                        <c:v>50</c:v>
                      </c:pt>
                      <c:pt idx="2">
                        <c:v>50</c:v>
                      </c:pt>
                      <c:pt idx="11">
                        <c:v>50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B1D0-435D-8EB9-F7D7CF3DEC5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第18話!$M$73:$Z$73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B1D0-435D-8EB9-F7D7CF3DEC5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第18話!$M$75:$Z$75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2">
                        <c:v>-65</c:v>
                      </c:pt>
                      <c:pt idx="3">
                        <c:v>-80</c:v>
                      </c:pt>
                      <c:pt idx="4">
                        <c:v>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1D0-435D-8EB9-F7D7CF3DEC5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第18話!$M$76:$Z$76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B1D0-435D-8EB9-F7D7CF3DEC5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第18話!$M$77:$Z$77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B1D0-435D-8EB9-F7D7CF3DEC5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第18話!$M$78:$Z$78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10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1D0-435D-8EB9-F7D7CF3DEC5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第18話!$M$79:$Z$79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25</c:v>
                      </c:pt>
                      <c:pt idx="10">
                        <c:v>3</c:v>
                      </c:pt>
                      <c:pt idx="11">
                        <c:v>20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B1D0-435D-8EB9-F7D7CF3DEC5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53269680752568E-2"/>
                  <c:y val="6.5166197259911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第18話!$M$59:$Z$59</c:f>
              <c:numCache>
                <c:formatCode>0.0_ </c:formatCode>
                <c:ptCount val="14"/>
                <c:pt idx="0">
                  <c:v>108</c:v>
                </c:pt>
                <c:pt idx="1">
                  <c:v>102</c:v>
                </c:pt>
                <c:pt idx="12">
                  <c:v>65.3</c:v>
                </c:pt>
                <c:pt idx="1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1D0-435D-8EB9-F7D7CF3DEC55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第18話!$M$62:$Z$62</c:f>
              <c:numCache>
                <c:formatCode>0.0_ </c:formatCode>
                <c:ptCount val="14"/>
                <c:pt idx="0">
                  <c:v>65.814610304874662</c:v>
                </c:pt>
                <c:pt idx="1">
                  <c:v>60.479373356440696</c:v>
                </c:pt>
                <c:pt idx="12">
                  <c:v>47.349135944479649</c:v>
                </c:pt>
                <c:pt idx="13">
                  <c:v>53.349195920508961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D0-435D-8EB9-F7D7CF3DEC55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364545902515571E-2"/>
                  <c:y val="-5.30522753546038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D0-435D-8EB9-F7D7CF3DEC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第18話!$M$69:$Z$69</c:f>
              <c:numCache>
                <c:formatCode>0.0_ </c:formatCode>
                <c:ptCount val="14"/>
                <c:pt idx="0">
                  <c:v>8</c:v>
                </c:pt>
                <c:pt idx="13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1D0-435D-8EB9-F7D7CF3DEC55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4.65472837570798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D0-435D-8EB9-F7D7CF3DEC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第18話!$M$80:$Z$80</c:f>
              <c:numCache>
                <c:formatCode>0.0_ </c:formatCode>
                <c:ptCount val="14"/>
                <c:pt idx="0">
                  <c:v>113.97940008672037</c:v>
                </c:pt>
                <c:pt idx="13">
                  <c:v>113.97940008672037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1D0-435D-8EB9-F7D7CF3D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第18話!$F$66:$G$66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第18話!$L$52:$Z$52</c15:sqref>
                        </c15:formulaRef>
                      </c:ext>
                    </c:extLst>
                    <c:strCache>
                      <c:ptCount val="15"/>
                      <c:pt idx="0">
                        <c:v>QPSK
波形
生成</c:v>
                      </c:pt>
                      <c:pt idx="1">
                        <c:v>DAC</c:v>
                      </c:pt>
                      <c:pt idx="2">
                        <c:v>I-Q
MOD</c:v>
                      </c:pt>
                      <c:pt idx="3">
                        <c:v>U/C</c:v>
                      </c:pt>
                      <c:pt idx="4">
                        <c:v>増幅</c:v>
                      </c:pt>
                      <c:pt idx="5">
                        <c:v>増幅</c:v>
                      </c:pt>
                      <c:pt idx="6">
                        <c:v>給電
回路</c:v>
                      </c:pt>
                      <c:pt idx="7">
                        <c:v>ANT</c:v>
                      </c:pt>
                      <c:pt idx="8">
                        <c:v>AIR</c:v>
                      </c:pt>
                      <c:pt idx="9">
                        <c:v>ANT</c:v>
                      </c:pt>
                      <c:pt idx="10">
                        <c:v>SW･
BPF</c:v>
                      </c:pt>
                      <c:pt idx="11">
                        <c:v>増幅</c:v>
                      </c:pt>
                      <c:pt idx="12">
                        <c:v>D/C</c:v>
                      </c:pt>
                      <c:pt idx="13">
                        <c:v>増幅</c:v>
                      </c:pt>
                      <c:pt idx="14">
                        <c:v>I-Q
DEM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第18話!$M$66:$Z$66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3.1309535047749222</c:v>
                      </c:pt>
                      <c:pt idx="1">
                        <c:v>3.1309535047749222</c:v>
                      </c:pt>
                      <c:pt idx="2">
                        <c:v>-6.8690464952250778</c:v>
                      </c:pt>
                      <c:pt idx="3">
                        <c:v>28.130953504774922</c:v>
                      </c:pt>
                      <c:pt idx="4">
                        <c:v>28.130953504774922</c:v>
                      </c:pt>
                      <c:pt idx="10">
                        <c:v>16.130953504774922</c:v>
                      </c:pt>
                      <c:pt idx="11">
                        <c:v>-26.869046495225078</c:v>
                      </c:pt>
                      <c:pt idx="12">
                        <c:v>33.130953504774922</c:v>
                      </c:pt>
                      <c:pt idx="13">
                        <c:v>2.1409535047749273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B1D0-435D-8EB9-F7D7CF3DEC5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dBm</a:t>
                </a:r>
              </a:p>
            </c:rich>
          </c:tx>
          <c:layout>
            <c:manualLayout>
              <c:xMode val="edge"/>
              <c:yMode val="edge"/>
              <c:x val="2.9605647639775801E-2"/>
              <c:y val="0.3326518678085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6.99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5289355097E-2"/>
          <c:w val="0.36447152330982158"/>
          <c:h val="0.81687651673407902"/>
        </c:manualLayout>
      </c:layou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31837189959836E-2"/>
                  <c:y val="5.1540612836149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7-485D-B6F4-8F5437EE33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第18話!$L$60:$M$60</c:f>
              <c:numCache>
                <c:formatCode>0.0_ </c:formatCode>
                <c:ptCount val="2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577-485D-B6F4-8F5437EE33B7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744150910784274"/>
                  <c:y val="-4.084667774883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第18話!$L$63:$M$63</c:f>
              <c:numCache>
                <c:formatCode>0.0_ </c:formatCode>
                <c:ptCount val="2"/>
                <c:pt idx="0">
                  <c:v>-48.164799306236993</c:v>
                </c:pt>
                <c:pt idx="1">
                  <c:v>-48.164789781845712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577-485D-B6F4-8F5437EE33B7}"/>
            </c:ext>
          </c:extLst>
        </c:ser>
        <c:ser>
          <c:idx val="15"/>
          <c:order val="15"/>
          <c:tx>
            <c:strRef>
              <c:f>第18話!$F$73:$G$73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第18話!$L$73:$M$73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577-485D-B6F4-8F5437EE33B7}"/>
            </c:ext>
          </c:extLst>
        </c:ser>
        <c:ser>
          <c:idx val="16"/>
          <c:order val="16"/>
          <c:tx>
            <c:strRef>
              <c:f>第18話!$F$74:$G$74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第18話!$L$74:$M$74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8577-485D-B6F4-8F5437EE33B7}"/>
            </c:ext>
          </c:extLst>
        </c:ser>
        <c:ser>
          <c:idx val="19"/>
          <c:order val="19"/>
          <c:tx>
            <c:strRef>
              <c:f>第18話!$F$77:$G$77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6150122186376"/>
                  <c:y val="7.72817109851890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第18話!$L$77:$M$77</c:f>
              <c:numCache>
                <c:formatCode>0.0_ </c:formatCode>
                <c:ptCount val="2"/>
                <c:pt idx="0">
                  <c:v>-48.164799306236993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8577-485D-B6F4-8F5437EE33B7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第18話!$L$83:$M$83</c:f>
              <c:numCache>
                <c:formatCode>0.0_ 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577-485D-B6F4-8F5437EE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第18話!$L$57:$M$57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5.9794000867203749</c:v>
                      </c:pt>
                      <c:pt idx="1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8577-485D-B6F4-8F5437EE33B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第18話!$L$61:$M$61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577-485D-B6F4-8F5437EE33B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第18話!$L$58:$M$58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8577-485D-B6F4-8F5437EE33B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第18話!$L$64:$M$64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8577-485D-B6F4-8F5437EE33B7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第18話!$L$68:$M$68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-103.85904649522507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577-485D-B6F4-8F5437EE33B7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第18話!$L$71:$M$71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8577-485D-B6F4-8F5437EE33B7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第18話!$L$72:$M$72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8577-485D-B6F4-8F5437EE33B7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第18話!$L$75:$M$75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577-485D-B6F4-8F5437EE33B7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第18話!$L$76:$M$76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577-485D-B6F4-8F5437EE33B7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第18話!$L$78:$M$78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8577-485D-B6F4-8F5437EE33B7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第18話!$L$79:$M$79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8577-485D-B6F4-8F5437EE33B7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第18話!$L$81:$M$81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8577-485D-B6F4-8F5437EE33B7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第18話!$L$82:$M$82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8577-485D-B6F4-8F5437EE33B7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第18話!$L$84:$M$84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8577-485D-B6F4-8F5437EE33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8024569994235977E-2"/>
                  <c:y val="5.15464143842069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第18話!$L$59:$M$59</c:f>
              <c:numCache>
                <c:formatCode>0.0_ </c:formatCode>
                <c:ptCount val="2"/>
                <c:pt idx="1">
                  <c:v>108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8577-485D-B6F4-8F5437EE33B7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497470236611"/>
                  <c:y val="-3.87020696987485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第18話!$L$62:$M$62</c:f>
              <c:numCache>
                <c:formatCode>0.0_ </c:formatCode>
                <c:ptCount val="2"/>
                <c:pt idx="1">
                  <c:v>65.814610304874662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8577-485D-B6F4-8F5437EE33B7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502090895583"/>
                  <c:y val="5.15406128361490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第18話!$L$66:$M$66</c:f>
              <c:numCache>
                <c:formatCode>0.0_ </c:formatCode>
                <c:ptCount val="2"/>
                <c:pt idx="1">
                  <c:v>3.1309535047749222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8577-485D-B6F4-8F5437EE33B7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第18話!$L$67:$M$67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8577-485D-B6F4-8F5437EE33B7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25397964874498"/>
                  <c:y val="-7.0868342649704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第18話!$L$69:$M$69</c:f>
              <c:numCache>
                <c:formatCode>0.0_ </c:formatCode>
                <c:ptCount val="2"/>
                <c:pt idx="1">
                  <c:v>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8577-485D-B6F4-8F5437EE33B7}"/>
            </c:ext>
          </c:extLst>
        </c:ser>
        <c:ser>
          <c:idx val="12"/>
          <c:order val="12"/>
          <c:tx>
            <c:strRef>
              <c:f>第18話!$F$70:$G$70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第18話!$L$70:$M$70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8577-485D-B6F4-8F5437EE33B7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3130245330461853E-2"/>
                  <c:y val="-7.5163393719384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第18話!$L$80:$M$80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8577-485D-B6F4-8F5437EE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3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42.99"/>
          <c:min val="-157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音声入力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40325478617333"/>
          <c:y val="7.0529703586883652E-2"/>
          <c:w val="0.48917029949851021"/>
          <c:h val="0.81467814237666425"/>
        </c:manualLayout>
      </c:layou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19-45DC-8BB3-4F37525BD3CC}"/>
              </c:ext>
            </c:extLst>
          </c:dPt>
          <c:dLbls>
            <c:dLbl>
              <c:idx val="1"/>
              <c:layout>
                <c:manualLayout>
                  <c:x val="-0.22315400099049409"/>
                  <c:y val="-2.4204587553681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第18話!$H$59:$J$59</c:f>
              <c:numCache>
                <c:formatCode>0.0_ </c:formatCode>
                <c:ptCount val="3"/>
                <c:pt idx="0">
                  <c:v>70.020599913279625</c:v>
                </c:pt>
                <c:pt idx="1">
                  <c:v>114.02059991327963</c:v>
                </c:pt>
                <c:pt idx="2">
                  <c:v>114.02059991327963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7E19-45DC-8BB3-4F37525BD3CC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4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19-45DC-8BB3-4F37525BD3CC}"/>
              </c:ext>
            </c:extLst>
          </c:dPt>
          <c:dLbls>
            <c:dLbl>
              <c:idx val="1"/>
              <c:layout>
                <c:manualLayout>
                  <c:x val="-0.11157700049524708"/>
                  <c:y val="-4.6547283757079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第18話!$H$62:$J$62</c:f>
              <c:numCache>
                <c:formatCode>0.0_ </c:formatCode>
                <c:ptCount val="3"/>
                <c:pt idx="0">
                  <c:v>20.020599913279618</c:v>
                </c:pt>
                <c:pt idx="1">
                  <c:v>64.022289323811165</c:v>
                </c:pt>
                <c:pt idx="2">
                  <c:v>64.052413737978512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7E19-45DC-8BB3-4F37525BD3CC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44451899542311"/>
                  <c:y val="5.027106645764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第18話!$H$66:$J$66</c:f>
              <c:numCache>
                <c:formatCode>0.0_ </c:formatCode>
                <c:ptCount val="3"/>
                <c:pt idx="0">
                  <c:v>20.020599913279618</c:v>
                </c:pt>
                <c:pt idx="1">
                  <c:v>29.920953504774928</c:v>
                </c:pt>
                <c:pt idx="2">
                  <c:v>-6.0790464952250716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7E19-45DC-8BB3-4F37525BD3CC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384666996831411E-2"/>
                  <c:y val="-3.90997183559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第18話!$H$80:$J$80</c:f>
              <c:numCache>
                <c:formatCode>0.0_ </c:formatCode>
                <c:ptCount val="3"/>
                <c:pt idx="0">
                  <c:v>140</c:v>
                </c:pt>
                <c:pt idx="1">
                  <c:v>123.52182518111363</c:v>
                </c:pt>
                <c:pt idx="2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E19-45DC-8BB3-4F37525BD3CC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0914592996127253E-2"/>
                  <c:y val="6.144241455934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第18話!$H$83:$J$83</c:f>
              <c:numCache>
                <c:formatCode>0.0_ </c:formatCode>
                <c:ptCount val="3"/>
                <c:pt idx="0">
                  <c:v>-16.079046495225072</c:v>
                </c:pt>
                <c:pt idx="1">
                  <c:v>-16.079046495225072</c:v>
                </c:pt>
                <c:pt idx="2">
                  <c:v>-16.079046495225072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19-45DC-8BB3-4F37525B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第18話!$H$57:$J$57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69.979400086720375</c:v>
                      </c:pt>
                      <c:pt idx="1">
                        <c:v>9.5012252678340019</c:v>
                      </c:pt>
                      <c:pt idx="2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7E19-45DC-8BB3-4F37525BD3C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第18話!$H$61:$J$61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-47.759400086720376</c:v>
                      </c:pt>
                      <c:pt idx="1">
                        <c:v>-3.7594000867203761</c:v>
                      </c:pt>
                      <c:pt idx="2">
                        <c:v>-3.7594000867203761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7E19-45DC-8BB3-4F37525BD3C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第18話!$H$58:$J$58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44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7E19-45DC-8BB3-4F37525BD3C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第18話!$H$64:$J$64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-53.757710676188836</c:v>
                      </c:pt>
                      <c:pt idx="2">
                        <c:v>-53.727586262021489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7E19-45DC-8BB3-4F37525BD3CC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第18話!$H$68:$J$68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-87.859046495225073</c:v>
                      </c:pt>
                      <c:pt idx="2">
                        <c:v>-123.85904649522507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7E19-45DC-8BB3-4F37525BD3CC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第18話!$H$71:$J$71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7E19-45DC-8BB3-4F37525BD3CC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第18話!$H$72:$J$72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7E19-45DC-8BB3-4F37525BD3CC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第18話!$H$73:$J$73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7E19-45DC-8BB3-4F37525BD3CC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第18話!$H$74:$J$74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7E19-45DC-8BB3-4F37525BD3CC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第18話!$H$75:$J$75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7E19-45DC-8BB3-4F37525BD3CC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第18話!$H$76:$J$76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7E19-45DC-8BB3-4F37525BD3CC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第18話!$H$78:$J$78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7E19-45DC-8BB3-4F37525BD3CC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第18話!$H$79:$J$79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2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7E19-45DC-8BB3-4F37525BD3CC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第18話!$H$81:$J$81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7E19-45DC-8BB3-4F37525BD3CC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第18話!$H$82:$J$82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7E19-45DC-8BB3-4F37525BD3CC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第18話!$H$84:$J$84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-133.85904649522507</c:v>
                      </c:pt>
                      <c:pt idx="1">
                        <c:v>-133.85904649522507</c:v>
                      </c:pt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7E19-45DC-8BB3-4F37525BD3C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715717137165448E-2"/>
                  <c:y val="-3.27626856233236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第18話!$H$60:$J$60</c:f>
              <c:numCache>
                <c:formatCode>0.0_ </c:formatCode>
                <c:ptCount val="3"/>
                <c:pt idx="2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7E19-45DC-8BB3-4F37525BD3CC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825880473107399E-2"/>
                  <c:y val="-3.33181273032556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第18話!$H$63:$J$63</c:f>
              <c:numCache>
                <c:formatCode>0.0_ </c:formatCode>
                <c:ptCount val="3"/>
                <c:pt idx="2">
                  <c:v>-55.947586262021488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7E19-45DC-8BB3-4F37525BD3CC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9637343605655793E-2"/>
                  <c:y val="3.76632722039293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第18話!$H$67:$J$67</c:f>
              <c:numCache>
                <c:formatCode>0.0_ </c:formatCode>
                <c:ptCount val="3"/>
                <c:pt idx="2">
                  <c:v>-126.07904649522507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7E19-45DC-8BB3-4F37525BD3CC}"/>
            </c:ext>
          </c:extLst>
        </c:ser>
        <c:ser>
          <c:idx val="12"/>
          <c:order val="12"/>
          <c:tx>
            <c:strRef>
              <c:f>第18話!$F$70:$G$70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1944543057519645E-2"/>
                  <c:y val="-6.364726662160181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第18話!$H$70:$J$70</c:f>
              <c:numCache>
                <c:formatCode>0.0_ </c:formatCode>
                <c:ptCount val="3"/>
                <c:pt idx="2">
                  <c:v>-105.97940008672037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7E19-45DC-8BB3-4F37525BD3CC}"/>
            </c:ext>
          </c:extLst>
        </c:ser>
        <c:ser>
          <c:idx val="19"/>
          <c:order val="19"/>
          <c:tx>
            <c:strRef>
              <c:f>第18話!$F$77:$G$77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3.795535540915055E-2"/>
                  <c:y val="5.027113543688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第18話!$H$77:$J$77</c:f>
              <c:numCache>
                <c:formatCode>0.0_ </c:formatCode>
                <c:ptCount val="3"/>
                <c:pt idx="2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7E19-45DC-8BB3-4F37525B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第18話!$F$69:$G$69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第18話!$H$69:$J$69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7E19-45DC-8BB3-4F37525BD3CC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30"/>
          <c:min val="-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復調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03586883652E-2"/>
          <c:w val="0.36447152330982158"/>
          <c:h val="0.81687878940154535"/>
        </c:manualLayout>
      </c:layou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009841498938997E-2"/>
                  <c:y val="-5.02710664576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第18話!$Z$59:$AA$59</c:f>
              <c:numCache>
                <c:formatCode>0.0_ </c:formatCode>
                <c:ptCount val="2"/>
                <c:pt idx="0">
                  <c:v>71.3</c:v>
                </c:pt>
                <c:pt idx="1">
                  <c:v>71.3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605-499F-8C52-235DE01FF299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41862632413873E-2"/>
                  <c:y val="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第18話!$Z$62:$AA$62</c:f>
              <c:numCache>
                <c:formatCode>0.0_ </c:formatCode>
                <c:ptCount val="2"/>
                <c:pt idx="0">
                  <c:v>53.349195920508961</c:v>
                </c:pt>
                <c:pt idx="1">
                  <c:v>53.349195920508961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605-499F-8C52-235DE01FF299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1556386268823522"/>
                  <c:y val="3.9099750955279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第18話!$Z$66:$AA$66</c:f>
              <c:numCache>
                <c:formatCode>0.0_ </c:formatCode>
                <c:ptCount val="2"/>
                <c:pt idx="0">
                  <c:v>2.1409535047749273</c:v>
                </c:pt>
                <c:pt idx="1">
                  <c:v>6.1409535047749273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605-499F-8C52-235DE01FF299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39894332625998E-2"/>
                  <c:y val="-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第18話!$Z$69:$AA$69</c:f>
              <c:numCache>
                <c:formatCode>0.0_ </c:formatCode>
                <c:ptCount val="2"/>
                <c:pt idx="0">
                  <c:v>1.2999999999999972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605-499F-8C52-235DE01FF299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81756965039829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第18話!$Z$80:$AA$80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9605-499F-8C52-235DE01FF299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38342076711585643"/>
                  <c:y val="5.43411234754569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24087955713915"/>
                      <c:h val="5.7351135072945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第18話!$Z$83:$AA$83</c:f>
              <c:numCache>
                <c:formatCode>0.0_ </c:formatCode>
                <c:ptCount val="2"/>
                <c:pt idx="0">
                  <c:v>-13.859046495225073</c:v>
                </c:pt>
                <c:pt idx="1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605-499F-8C52-235DE01F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第18話!$Z$57:$AA$57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42.679400086720378</c:v>
                      </c:pt>
                      <c:pt idx="1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9605-499F-8C52-235DE01FF29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第18話!$Z$61:$AA$61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605-499F-8C52-235DE01FF29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第18話!$Z$58:$AA$58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6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605-499F-8C52-235DE01FF299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第18話!$Z$64:$AA$64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605-499F-8C52-235DE01FF299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第18話!$Z$68:$AA$68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-117.85904649522507</c:v>
                      </c:pt>
                      <c:pt idx="1">
                        <c:v>-113.85904649522507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605-499F-8C52-235DE01FF299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第18話!$Z$71:$AA$71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605-499F-8C52-235DE01FF299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第18話!$Z$72:$AA$72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70</c:v>
                      </c:pt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605-499F-8C52-235DE01FF299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第18話!$Z$73:$AA$73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605-499F-8C52-235DE01FF299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第18話!$Z$74:$AA$74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9605-499F-8C52-235DE01FF299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第18話!$Z$75:$AA$75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9605-499F-8C52-235DE01FF299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第18話!$Z$76:$AA$76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605-499F-8C52-235DE01FF299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第18話!$Z$78:$AA$78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9605-499F-8C52-235DE01FF299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第18話!$Z$79:$AA$79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9605-499F-8C52-235DE01FF299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第18話!$Z$81:$AA$81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9605-499F-8C52-235DE01FF299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第18話!$Z$82:$AA$82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605-499F-8C52-235DE01FF299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第18話!$Z$84:$AA$84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-133.85904649522507</c:v>
                      </c:pt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9605-499F-8C52-235DE01FF2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05904899363471E-2"/>
                  <c:y val="-4.654728375707976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第18話!$Z$60:$AA$60</c:f>
              <c:numCache>
                <c:formatCode>0.0_ </c:formatCode>
                <c:ptCount val="2"/>
                <c:pt idx="1">
                  <c:v>-42.679400086720378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9605-499F-8C52-235DE01FF299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2009841498939074E-2"/>
                  <c:y val="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第18話!$Z$63:$AA$63</c:f>
              <c:numCache>
                <c:formatCode>0.0_ </c:formatCode>
                <c:ptCount val="2"/>
                <c:pt idx="1">
                  <c:v>-60.34070369083171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9605-499F-8C52-235DE01FF299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607873199151276E-2"/>
                  <c:y val="-5.21329578079293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第18話!$Z$52:$AB$52</c:f>
              <c:strCache>
                <c:ptCount val="3"/>
                <c:pt idx="0">
                  <c:v>I-Q
DEM</c:v>
                </c:pt>
                <c:pt idx="1">
                  <c:v>ADC</c:v>
                </c:pt>
                <c:pt idx="2">
                  <c:v>QPSK
復調</c:v>
                </c:pt>
              </c:strCache>
            </c:strRef>
          </c:cat>
          <c:val>
            <c:numRef>
              <c:f>第18話!$Z$67:$AA$67</c:f>
              <c:numCache>
                <c:formatCode>0.0_ </c:formatCode>
                <c:ptCount val="2"/>
                <c:pt idx="1">
                  <c:v>-107.83844658194545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9605-499F-8C52-235DE01FF299}"/>
            </c:ext>
          </c:extLst>
        </c:ser>
        <c:ser>
          <c:idx val="12"/>
          <c:order val="12"/>
          <c:tx>
            <c:strRef>
              <c:f>第18話!$F$70:$G$70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0.11161771469809027"/>
                  <c:y val="3.3514044305097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第18話!$Z$70:$AA$70</c:f>
              <c:numCache>
                <c:formatCode>0.0_ </c:formatCode>
                <c:ptCount val="2"/>
                <c:pt idx="1">
                  <c:v>-142.67940008672036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9605-499F-8C52-235DE01F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第18話!$F$77:$G$77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chemeClr val="accent6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第18話!$Z$77:$AA$77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-72.247198959355487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F-9605-499F-8C52-235DE01FF299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6.99"/>
          <c:min val="-43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42.99"/>
          <c:min val="-157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543550" y="1531200"/>
    <xdr:ext cx="9223374" cy="5724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B0B2A6-1A3E-4677-8D18-3857B4270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126737" y="1531381"/>
    <xdr:ext cx="2593756" cy="5724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64EA19B-9903-4D86-8E6E-3E4C8817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93053" y="1529951"/>
    <xdr:ext cx="3055431" cy="5724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45D818-12E9-4FBF-943D-E7A5A9BBC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4711982" y="1529951"/>
    <xdr:ext cx="2599360" cy="5724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85784B-34CD-4159-A07F-D0FE3A7BB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7344472" y="1530098"/>
    <xdr:ext cx="3078069" cy="5724000"/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2E65F4-4731-437C-883A-5766EECE2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2243847" y="2770911"/>
    <xdr:ext cx="16024225" cy="0"/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5DD5B3E-E224-43D8-836A-34716A82F89D}"/>
            </a:ext>
          </a:extLst>
        </xdr:cNvPr>
        <xdr:cNvCxnSpPr/>
      </xdr:nvCxnSpPr>
      <xdr:spPr>
        <a:xfrm flipH="1">
          <a:off x="2243847" y="2770911"/>
          <a:ext cx="16024225" cy="0"/>
        </a:xfrm>
        <a:prstGeom prst="line">
          <a:avLst/>
        </a:prstGeom>
        <a:ln w="28575">
          <a:solidFill>
            <a:schemeClr val="accent2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2209800" y="3923930"/>
    <xdr:ext cx="16024225" cy="0"/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F334FB4-ACF9-4EEC-A964-2125B9077945}"/>
            </a:ext>
          </a:extLst>
        </xdr:cNvPr>
        <xdr:cNvCxnSpPr/>
      </xdr:nvCxnSpPr>
      <xdr:spPr>
        <a:xfrm flipH="1">
          <a:off x="2209800" y="3923930"/>
          <a:ext cx="16024225" cy="0"/>
        </a:xfrm>
        <a:prstGeom prst="line">
          <a:avLst/>
        </a:prstGeom>
        <a:ln w="28575">
          <a:solidFill>
            <a:schemeClr val="accent4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70917" y="3060986"/>
    <xdr:ext cx="2184400" cy="0"/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A324011-47BB-4069-8C81-153FEAFCDA28}"/>
            </a:ext>
          </a:extLst>
        </xdr:cNvPr>
        <xdr:cNvCxnSpPr/>
      </xdr:nvCxnSpPr>
      <xdr:spPr>
        <a:xfrm flipH="1">
          <a:off x="4670917" y="3060986"/>
          <a:ext cx="2184400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68383" y="4062294"/>
    <xdr:ext cx="2184400" cy="0"/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904D960-967A-41A8-9A2B-8E7E86614E06}"/>
            </a:ext>
          </a:extLst>
        </xdr:cNvPr>
        <xdr:cNvCxnSpPr/>
      </xdr:nvCxnSpPr>
      <xdr:spPr>
        <a:xfrm flipH="1">
          <a:off x="4668383" y="4062294"/>
          <a:ext cx="2184400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9150" y="3922293"/>
    <xdr:ext cx="2184399" cy="0"/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43C5A1D-1F8E-47DB-8C09-DD0D88D36645}"/>
            </a:ext>
          </a:extLst>
        </xdr:cNvPr>
        <xdr:cNvCxnSpPr/>
      </xdr:nvCxnSpPr>
      <xdr:spPr>
        <a:xfrm flipH="1">
          <a:off x="13529150" y="3922293"/>
          <a:ext cx="2184399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6616" y="4349191"/>
    <xdr:ext cx="2184399" cy="0"/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EBDCC2C6-5B8B-4D37-8AC3-E6F7BDEF1C29}"/>
            </a:ext>
          </a:extLst>
        </xdr:cNvPr>
        <xdr:cNvCxnSpPr/>
      </xdr:nvCxnSpPr>
      <xdr:spPr>
        <a:xfrm flipH="1">
          <a:off x="13526616" y="4349191"/>
          <a:ext cx="2184399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twoCellAnchor editAs="absolute">
    <xdr:from>
      <xdr:col>1</xdr:col>
      <xdr:colOff>224117</xdr:colOff>
      <xdr:row>39</xdr:row>
      <xdr:rowOff>33617</xdr:rowOff>
    </xdr:from>
    <xdr:to>
      <xdr:col>35</xdr:col>
      <xdr:colOff>70251</xdr:colOff>
      <xdr:row>50</xdr:row>
      <xdr:rowOff>18962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7E1F2E92-122C-481F-880B-B7C05A193367}"/>
            </a:ext>
          </a:extLst>
        </xdr:cNvPr>
        <xdr:cNvGrpSpPr/>
      </xdr:nvGrpSpPr>
      <xdr:grpSpPr>
        <a:xfrm>
          <a:off x="896470" y="6589058"/>
          <a:ext cx="18728046" cy="1767080"/>
          <a:chOff x="923579" y="6546080"/>
          <a:chExt cx="18678497" cy="1707821"/>
        </a:xfrm>
      </xdr:grpSpPr>
      <xdr:cxnSp macro="">
        <xdr:nvCxnSpPr>
          <xdr:cNvPr id="53" name="直線コネクタ 52">
            <a:extLst>
              <a:ext uri="{FF2B5EF4-FFF2-40B4-BE49-F238E27FC236}">
                <a16:creationId xmlns:a16="http://schemas.microsoft.com/office/drawing/2014/main" id="{78D8A967-CB90-21C8-7B9E-72DD0B564A5C}"/>
              </a:ext>
            </a:extLst>
          </xdr:cNvPr>
          <xdr:cNvCxnSpPr/>
        </xdr:nvCxnSpPr>
        <xdr:spPr>
          <a:xfrm flipV="1">
            <a:off x="6635466" y="6560251"/>
            <a:ext cx="0" cy="168658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5A49092E-1675-CE5A-E2FD-2028A73C565A}"/>
              </a:ext>
            </a:extLst>
          </xdr:cNvPr>
          <xdr:cNvCxnSpPr/>
        </xdr:nvCxnSpPr>
        <xdr:spPr>
          <a:xfrm flipV="1">
            <a:off x="13725827" y="6591773"/>
            <a:ext cx="0" cy="1637196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4211154F-4835-1CC3-6996-80E52DDD99F9}"/>
              </a:ext>
            </a:extLst>
          </xdr:cNvPr>
          <xdr:cNvCxnSpPr/>
        </xdr:nvCxnSpPr>
        <xdr:spPr>
          <a:xfrm flipV="1">
            <a:off x="16191175" y="6574426"/>
            <a:ext cx="3410901" cy="166158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789B0230-B604-3E4B-8C20-15B7A76DB354}"/>
              </a:ext>
            </a:extLst>
          </xdr:cNvPr>
          <xdr:cNvCxnSpPr/>
        </xdr:nvCxnSpPr>
        <xdr:spPr>
          <a:xfrm flipV="1">
            <a:off x="14691298" y="6568166"/>
            <a:ext cx="3411013" cy="168573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15489EE0-98FD-D95D-0DDF-8A2123147429}"/>
              </a:ext>
            </a:extLst>
          </xdr:cNvPr>
          <xdr:cNvCxnSpPr/>
        </xdr:nvCxnSpPr>
        <xdr:spPr>
          <a:xfrm flipV="1">
            <a:off x="14187066" y="6560254"/>
            <a:ext cx="2265389" cy="168656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2C1E1FE4-2DFE-0DD9-8790-CDB2E908D8A4}"/>
              </a:ext>
            </a:extLst>
          </xdr:cNvPr>
          <xdr:cNvCxnSpPr/>
        </xdr:nvCxnSpPr>
        <xdr:spPr>
          <a:xfrm flipV="1">
            <a:off x="13178603" y="6557337"/>
            <a:ext cx="2319646" cy="169656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B5274E1A-0BB5-15C4-E42A-02CA6D7103EC}"/>
              </a:ext>
            </a:extLst>
          </xdr:cNvPr>
          <xdr:cNvCxnSpPr/>
        </xdr:nvCxnSpPr>
        <xdr:spPr>
          <a:xfrm>
            <a:off x="4869740" y="6567337"/>
            <a:ext cx="2290179" cy="1679068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直線コネクタ 59">
            <a:extLst>
              <a:ext uri="{FF2B5EF4-FFF2-40B4-BE49-F238E27FC236}">
                <a16:creationId xmlns:a16="http://schemas.microsoft.com/office/drawing/2014/main" id="{A206057E-81AD-649F-5922-EC42EC496D4B}"/>
              </a:ext>
            </a:extLst>
          </xdr:cNvPr>
          <xdr:cNvCxnSpPr/>
        </xdr:nvCxnSpPr>
        <xdr:spPr>
          <a:xfrm>
            <a:off x="3948969" y="6574423"/>
            <a:ext cx="2193912" cy="165032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DCF697E2-2707-B7BF-2299-1E59A73DB4AA}"/>
              </a:ext>
            </a:extLst>
          </xdr:cNvPr>
          <xdr:cNvCxnSpPr/>
        </xdr:nvCxnSpPr>
        <xdr:spPr>
          <a:xfrm>
            <a:off x="2399735" y="6560251"/>
            <a:ext cx="3273745" cy="1675324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AFF62891-94DC-ED70-1123-CE312591EC1C}"/>
              </a:ext>
            </a:extLst>
          </xdr:cNvPr>
          <xdr:cNvCxnSpPr/>
        </xdr:nvCxnSpPr>
        <xdr:spPr>
          <a:xfrm>
            <a:off x="923579" y="6546080"/>
            <a:ext cx="3196404" cy="170032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543550" y="1531200"/>
    <xdr:ext cx="9223374" cy="5724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190A195-52E4-43A9-B1A4-448924A9C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126737" y="1531381"/>
    <xdr:ext cx="2593756" cy="5724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17B7ABE-94D6-4A86-8E00-120EC4E20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93053" y="1529951"/>
    <xdr:ext cx="3055431" cy="5724000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325F89-9B27-4EE5-8082-292D8720B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4711982" y="1529951"/>
    <xdr:ext cx="2599360" cy="5724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43A8F5-9F7B-4D9F-ACA5-BA834659B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7344472" y="1530098"/>
    <xdr:ext cx="3078069" cy="5724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7D09AD-F463-4392-A197-0B6C93750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2243847" y="2770911"/>
    <xdr:ext cx="16024225" cy="0"/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8995A6D-A4A3-4C22-A583-E9CADFD1A6E9}"/>
            </a:ext>
          </a:extLst>
        </xdr:cNvPr>
        <xdr:cNvCxnSpPr/>
      </xdr:nvCxnSpPr>
      <xdr:spPr>
        <a:xfrm flipH="1">
          <a:off x="2243847" y="2770911"/>
          <a:ext cx="16024225" cy="0"/>
        </a:xfrm>
        <a:prstGeom prst="line">
          <a:avLst/>
        </a:prstGeom>
        <a:ln w="28575">
          <a:solidFill>
            <a:schemeClr val="accent2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2209800" y="3923930"/>
    <xdr:ext cx="16024225" cy="0"/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25C810F-84EF-4627-9D4F-9D669BF19993}"/>
            </a:ext>
          </a:extLst>
        </xdr:cNvPr>
        <xdr:cNvCxnSpPr/>
      </xdr:nvCxnSpPr>
      <xdr:spPr>
        <a:xfrm flipH="1">
          <a:off x="2209800" y="3923930"/>
          <a:ext cx="16024225" cy="0"/>
        </a:xfrm>
        <a:prstGeom prst="line">
          <a:avLst/>
        </a:prstGeom>
        <a:ln w="28575">
          <a:solidFill>
            <a:schemeClr val="accent4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70917" y="3060986"/>
    <xdr:ext cx="2184400" cy="0"/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B4EA14E-E326-4821-B979-6D761803510E}"/>
            </a:ext>
          </a:extLst>
        </xdr:cNvPr>
        <xdr:cNvCxnSpPr/>
      </xdr:nvCxnSpPr>
      <xdr:spPr>
        <a:xfrm flipH="1">
          <a:off x="4670917" y="3060986"/>
          <a:ext cx="2184400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68383" y="4062294"/>
    <xdr:ext cx="2184400" cy="0"/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13E3DB9-8C7A-460D-9E91-AEA257113397}"/>
            </a:ext>
          </a:extLst>
        </xdr:cNvPr>
        <xdr:cNvCxnSpPr/>
      </xdr:nvCxnSpPr>
      <xdr:spPr>
        <a:xfrm flipH="1">
          <a:off x="4668383" y="4062294"/>
          <a:ext cx="2184400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9150" y="3922293"/>
    <xdr:ext cx="2184399" cy="0"/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A4883C1-19B1-4293-9187-CD7B00934834}"/>
            </a:ext>
          </a:extLst>
        </xdr:cNvPr>
        <xdr:cNvCxnSpPr/>
      </xdr:nvCxnSpPr>
      <xdr:spPr>
        <a:xfrm flipH="1">
          <a:off x="13529150" y="3922293"/>
          <a:ext cx="2184399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6616" y="4349191"/>
    <xdr:ext cx="2184399" cy="0"/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9438629-4C93-4E4F-8F2A-4B3951A4976B}"/>
            </a:ext>
          </a:extLst>
        </xdr:cNvPr>
        <xdr:cNvCxnSpPr/>
      </xdr:nvCxnSpPr>
      <xdr:spPr>
        <a:xfrm flipH="1">
          <a:off x="13526616" y="4349191"/>
          <a:ext cx="2184399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896470" y="6589058"/>
    <xdr:ext cx="18728046" cy="1767080"/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80C30259-435C-4703-BC76-68680CACFA64}"/>
            </a:ext>
          </a:extLst>
        </xdr:cNvPr>
        <xdr:cNvGrpSpPr/>
      </xdr:nvGrpSpPr>
      <xdr:grpSpPr>
        <a:xfrm>
          <a:off x="896470" y="6589058"/>
          <a:ext cx="18728046" cy="1767080"/>
          <a:chOff x="923579" y="6546080"/>
          <a:chExt cx="18678497" cy="1707821"/>
        </a:xfrm>
      </xdr:grpSpPr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FE23729B-E5AE-3E85-A7D3-9984D1A0B81C}"/>
              </a:ext>
            </a:extLst>
          </xdr:cNvPr>
          <xdr:cNvCxnSpPr/>
        </xdr:nvCxnSpPr>
        <xdr:spPr>
          <a:xfrm flipV="1">
            <a:off x="6635466" y="6560251"/>
            <a:ext cx="0" cy="168658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1EC72CFE-EEDE-F82A-9A18-6E63296DDA28}"/>
              </a:ext>
            </a:extLst>
          </xdr:cNvPr>
          <xdr:cNvCxnSpPr/>
        </xdr:nvCxnSpPr>
        <xdr:spPr>
          <a:xfrm flipV="1">
            <a:off x="13725827" y="6591773"/>
            <a:ext cx="0" cy="1637196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9C157CD0-E597-98F3-2CB0-5B704B026C3D}"/>
              </a:ext>
            </a:extLst>
          </xdr:cNvPr>
          <xdr:cNvCxnSpPr/>
        </xdr:nvCxnSpPr>
        <xdr:spPr>
          <a:xfrm flipV="1">
            <a:off x="16191175" y="6574426"/>
            <a:ext cx="3410901" cy="166158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18EC34FC-6A8E-4162-C805-AAF69C8F092B}"/>
              </a:ext>
            </a:extLst>
          </xdr:cNvPr>
          <xdr:cNvCxnSpPr/>
        </xdr:nvCxnSpPr>
        <xdr:spPr>
          <a:xfrm flipV="1">
            <a:off x="14691298" y="6568166"/>
            <a:ext cx="3411013" cy="168573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4AB3E97C-BC9F-D920-C8C5-1A2B8DCEFAFF}"/>
              </a:ext>
            </a:extLst>
          </xdr:cNvPr>
          <xdr:cNvCxnSpPr/>
        </xdr:nvCxnSpPr>
        <xdr:spPr>
          <a:xfrm flipV="1">
            <a:off x="14187066" y="6560254"/>
            <a:ext cx="2265389" cy="168656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19C5A97D-4545-C5B3-908E-AD97E92953B3}"/>
              </a:ext>
            </a:extLst>
          </xdr:cNvPr>
          <xdr:cNvCxnSpPr/>
        </xdr:nvCxnSpPr>
        <xdr:spPr>
          <a:xfrm flipV="1">
            <a:off x="13178603" y="6557337"/>
            <a:ext cx="2319646" cy="169656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44E0B2D1-0B7A-B30B-927E-5BCCD5A597F6}"/>
              </a:ext>
            </a:extLst>
          </xdr:cNvPr>
          <xdr:cNvCxnSpPr/>
        </xdr:nvCxnSpPr>
        <xdr:spPr>
          <a:xfrm>
            <a:off x="4869740" y="6567337"/>
            <a:ext cx="2290179" cy="1679068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5500ED04-66D4-A658-3E39-781FE5C293C9}"/>
              </a:ext>
            </a:extLst>
          </xdr:cNvPr>
          <xdr:cNvCxnSpPr/>
        </xdr:nvCxnSpPr>
        <xdr:spPr>
          <a:xfrm>
            <a:off x="3948969" y="6574423"/>
            <a:ext cx="2193912" cy="165032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2C0AF474-234B-949C-C039-1C1D2B1A2459}"/>
              </a:ext>
            </a:extLst>
          </xdr:cNvPr>
          <xdr:cNvCxnSpPr/>
        </xdr:nvCxnSpPr>
        <xdr:spPr>
          <a:xfrm>
            <a:off x="2399735" y="6560251"/>
            <a:ext cx="3273745" cy="1675324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2F20A779-D7E7-7019-B11C-CE3920476C1F}"/>
              </a:ext>
            </a:extLst>
          </xdr:cNvPr>
          <xdr:cNvCxnSpPr/>
        </xdr:nvCxnSpPr>
        <xdr:spPr>
          <a:xfrm>
            <a:off x="923579" y="6546080"/>
            <a:ext cx="3196404" cy="170032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8</xdr:row>
      <xdr:rowOff>169049</xdr:rowOff>
    </xdr:from>
    <xdr:to>
      <xdr:col>28</xdr:col>
      <xdr:colOff>19049</xdr:colOff>
      <xdr:row>43</xdr:row>
      <xdr:rowOff>8164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569C36-3596-4639-AE62-66C76C4D2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324968</xdr:colOff>
      <xdr:row>9</xdr:row>
      <xdr:rowOff>1777</xdr:rowOff>
    </xdr:from>
    <xdr:to>
      <xdr:col>10</xdr:col>
      <xdr:colOff>124724</xdr:colOff>
      <xdr:row>43</xdr:row>
      <xdr:rowOff>4498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8AD23B-AB57-422E-A10D-F526DF644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93053</xdr:colOff>
      <xdr:row>9</xdr:row>
      <xdr:rowOff>0</xdr:rowOff>
    </xdr:from>
    <xdr:to>
      <xdr:col>5</xdr:col>
      <xdr:colOff>338609</xdr:colOff>
      <xdr:row>43</xdr:row>
      <xdr:rowOff>2721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30E46-BF96-434B-BF1C-2F37070B0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27</xdr:col>
      <xdr:colOff>472107</xdr:colOff>
      <xdr:row>9</xdr:row>
      <xdr:rowOff>0</xdr:rowOff>
    </xdr:from>
    <xdr:to>
      <xdr:col>32</xdr:col>
      <xdr:colOff>372717</xdr:colOff>
      <xdr:row>43</xdr:row>
      <xdr:rowOff>2721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5E44B1-84AC-4AEF-ADA3-FAD2D19A9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32</xdr:col>
      <xdr:colOff>405847</xdr:colOff>
      <xdr:row>9</xdr:row>
      <xdr:rowOff>0</xdr:rowOff>
    </xdr:from>
    <xdr:to>
      <xdr:col>35</xdr:col>
      <xdr:colOff>816916</xdr:colOff>
      <xdr:row>43</xdr:row>
      <xdr:rowOff>2721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E0F2BB-4DD9-4E0A-BFA9-7F6647386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8283</xdr:colOff>
      <xdr:row>39</xdr:row>
      <xdr:rowOff>41413</xdr:rowOff>
    </xdr:from>
    <xdr:to>
      <xdr:col>12</xdr:col>
      <xdr:colOff>8283</xdr:colOff>
      <xdr:row>50</xdr:row>
      <xdr:rowOff>5443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AA1ECFA-70CB-4330-977E-7957CAC687A5}"/>
            </a:ext>
          </a:extLst>
        </xdr:cNvPr>
        <xdr:cNvCxnSpPr/>
      </xdr:nvCxnSpPr>
      <xdr:spPr>
        <a:xfrm flipV="1">
          <a:off x="6618633" y="6727963"/>
          <a:ext cx="0" cy="1773780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0</xdr:colOff>
      <xdr:row>39</xdr:row>
      <xdr:rowOff>33130</xdr:rowOff>
    </xdr:from>
    <xdr:to>
      <xdr:col>26</xdr:col>
      <xdr:colOff>0</xdr:colOff>
      <xdr:row>49</xdr:row>
      <xdr:rowOff>82826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223DD16-C8F1-4B36-B359-4188399A8DE5}"/>
            </a:ext>
          </a:extLst>
        </xdr:cNvPr>
        <xdr:cNvCxnSpPr/>
      </xdr:nvCxnSpPr>
      <xdr:spPr>
        <a:xfrm flipV="1">
          <a:off x="13677900" y="6719680"/>
          <a:ext cx="0" cy="176419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39</xdr:row>
      <xdr:rowOff>33130</xdr:rowOff>
    </xdr:from>
    <xdr:to>
      <xdr:col>35</xdr:col>
      <xdr:colOff>8283</xdr:colOff>
      <xdr:row>49</xdr:row>
      <xdr:rowOff>82826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4986912-3655-4AFD-ACD9-03FAD5D08D1A}"/>
            </a:ext>
          </a:extLst>
        </xdr:cNvPr>
        <xdr:cNvCxnSpPr/>
      </xdr:nvCxnSpPr>
      <xdr:spPr>
        <a:xfrm flipV="1">
          <a:off x="16202025" y="6719680"/>
          <a:ext cx="3332508" cy="176419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496957</xdr:colOff>
      <xdr:row>39</xdr:row>
      <xdr:rowOff>24847</xdr:rowOff>
    </xdr:from>
    <xdr:to>
      <xdr:col>33</xdr:col>
      <xdr:colOff>521805</xdr:colOff>
      <xdr:row>49</xdr:row>
      <xdr:rowOff>91109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CAB11B8-C38E-4A70-A1A5-1D6B6C63C38C}"/>
            </a:ext>
          </a:extLst>
        </xdr:cNvPr>
        <xdr:cNvCxnSpPr/>
      </xdr:nvCxnSpPr>
      <xdr:spPr>
        <a:xfrm flipV="1">
          <a:off x="14679682" y="6711397"/>
          <a:ext cx="3377648" cy="1780762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39</xdr:row>
      <xdr:rowOff>24847</xdr:rowOff>
    </xdr:from>
    <xdr:to>
      <xdr:col>31</xdr:col>
      <xdr:colOff>207065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62EBDC-7C9A-4408-B646-AE9F6DBF3530}"/>
            </a:ext>
          </a:extLst>
        </xdr:cNvPr>
        <xdr:cNvCxnSpPr/>
      </xdr:nvCxnSpPr>
      <xdr:spPr>
        <a:xfrm flipV="1">
          <a:off x="14182725" y="6711397"/>
          <a:ext cx="2226365" cy="1784903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24848</xdr:colOff>
      <xdr:row>39</xdr:row>
      <xdr:rowOff>33130</xdr:rowOff>
    </xdr:from>
    <xdr:to>
      <xdr:col>29</xdr:col>
      <xdr:colOff>265044</xdr:colOff>
      <xdr:row>49</xdr:row>
      <xdr:rowOff>91109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6EFDA46-7BF5-4106-9F92-4C9CA63FA839}"/>
            </a:ext>
          </a:extLst>
        </xdr:cNvPr>
        <xdr:cNvCxnSpPr/>
      </xdr:nvCxnSpPr>
      <xdr:spPr>
        <a:xfrm flipV="1">
          <a:off x="13197923" y="6719680"/>
          <a:ext cx="2259496" cy="1772479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39</xdr:row>
      <xdr:rowOff>38100</xdr:rowOff>
    </xdr:from>
    <xdr:to>
      <xdr:col>12</xdr:col>
      <xdr:colOff>476250</xdr:colOff>
      <xdr:row>49</xdr:row>
      <xdr:rowOff>76200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F99D942-8D97-4DFF-B9AB-D99B26D747AB}"/>
            </a:ext>
          </a:extLst>
        </xdr:cNvPr>
        <xdr:cNvCxnSpPr/>
      </xdr:nvCxnSpPr>
      <xdr:spPr>
        <a:xfrm>
          <a:off x="4876800" y="6724650"/>
          <a:ext cx="2209800" cy="1752600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39</xdr:row>
      <xdr:rowOff>47625</xdr:rowOff>
    </xdr:from>
    <xdr:to>
      <xdr:col>11</xdr:col>
      <xdr:colOff>0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2A7DDF8-BF83-4DB3-B544-A04C20A5C04B}"/>
            </a:ext>
          </a:extLst>
        </xdr:cNvPr>
        <xdr:cNvCxnSpPr/>
      </xdr:nvCxnSpPr>
      <xdr:spPr>
        <a:xfrm>
          <a:off x="3933825" y="6734175"/>
          <a:ext cx="2171700" cy="1762125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387803</xdr:colOff>
      <xdr:row>39</xdr:row>
      <xdr:rowOff>9525</xdr:rowOff>
    </xdr:from>
    <xdr:to>
      <xdr:col>9</xdr:col>
      <xdr:colOff>489857</xdr:colOff>
      <xdr:row>49</xdr:row>
      <xdr:rowOff>97971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4FAE1BA-6C02-4CB0-BB25-F9FEDB2D79D7}"/>
            </a:ext>
          </a:extLst>
        </xdr:cNvPr>
        <xdr:cNvCxnSpPr/>
      </xdr:nvCxnSpPr>
      <xdr:spPr>
        <a:xfrm>
          <a:off x="2388053" y="6696075"/>
          <a:ext cx="3197679" cy="180294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239486</xdr:colOff>
      <xdr:row>39</xdr:row>
      <xdr:rowOff>21771</xdr:rowOff>
    </xdr:from>
    <xdr:to>
      <xdr:col>6</xdr:col>
      <xdr:colOff>628650</xdr:colOff>
      <xdr:row>49</xdr:row>
      <xdr:rowOff>85725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E0A008D-F715-40F4-AB7E-DC43977ECA81}"/>
            </a:ext>
          </a:extLst>
        </xdr:cNvPr>
        <xdr:cNvCxnSpPr/>
      </xdr:nvCxnSpPr>
      <xdr:spPr>
        <a:xfrm>
          <a:off x="906236" y="6708321"/>
          <a:ext cx="3170464" cy="1778454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16</xdr:row>
      <xdr:rowOff>57150</xdr:rowOff>
    </xdr:from>
    <xdr:to>
      <xdr:col>33</xdr:col>
      <xdr:colOff>666750</xdr:colOff>
      <xdr:row>16</xdr:row>
      <xdr:rowOff>57150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220BD06-992A-4FE0-A5A3-63FB2FFC81F3}"/>
            </a:ext>
          </a:extLst>
        </xdr:cNvPr>
        <xdr:cNvCxnSpPr/>
      </xdr:nvCxnSpPr>
      <xdr:spPr>
        <a:xfrm flipH="1">
          <a:off x="2247900" y="2800350"/>
          <a:ext cx="15954375" cy="0"/>
        </a:xfrm>
        <a:prstGeom prst="line">
          <a:avLst/>
        </a:prstGeom>
        <a:ln w="28575">
          <a:solidFill>
            <a:schemeClr val="accent2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23</xdr:row>
      <xdr:rowOff>57150</xdr:rowOff>
    </xdr:from>
    <xdr:to>
      <xdr:col>33</xdr:col>
      <xdr:colOff>628650</xdr:colOff>
      <xdr:row>23</xdr:row>
      <xdr:rowOff>57150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36D021E-E700-417B-94A0-5ABCC4A4C4F5}"/>
            </a:ext>
          </a:extLst>
        </xdr:cNvPr>
        <xdr:cNvCxnSpPr/>
      </xdr:nvCxnSpPr>
      <xdr:spPr>
        <a:xfrm flipH="1">
          <a:off x="2209800" y="4000500"/>
          <a:ext cx="15954375" cy="0"/>
        </a:xfrm>
        <a:prstGeom prst="line">
          <a:avLst/>
        </a:prstGeom>
        <a:ln w="28575">
          <a:solidFill>
            <a:schemeClr val="accent4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83042</xdr:colOff>
      <xdr:row>18</xdr:row>
      <xdr:rowOff>37831</xdr:rowOff>
    </xdr:from>
    <xdr:to>
      <xdr:col>12</xdr:col>
      <xdr:colOff>235442</xdr:colOff>
      <xdr:row>18</xdr:row>
      <xdr:rowOff>37831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F6A8E13-B9BA-4963-B84E-1F86DD8B0FFA}"/>
            </a:ext>
          </a:extLst>
        </xdr:cNvPr>
        <xdr:cNvCxnSpPr/>
      </xdr:nvCxnSpPr>
      <xdr:spPr>
        <a:xfrm flipH="1">
          <a:off x="4674092" y="3123931"/>
          <a:ext cx="2171700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80508</xdr:colOff>
      <xdr:row>24</xdr:row>
      <xdr:rowOff>12092</xdr:rowOff>
    </xdr:from>
    <xdr:to>
      <xdr:col>12</xdr:col>
      <xdr:colOff>232908</xdr:colOff>
      <xdr:row>24</xdr:row>
      <xdr:rowOff>12092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9451D9F-C2C0-435D-B041-866FD2F9658D}"/>
            </a:ext>
          </a:extLst>
        </xdr:cNvPr>
        <xdr:cNvCxnSpPr/>
      </xdr:nvCxnSpPr>
      <xdr:spPr>
        <a:xfrm flipH="1">
          <a:off x="4671558" y="4126892"/>
          <a:ext cx="2171700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305275</xdr:colOff>
      <xdr:row>23</xdr:row>
      <xdr:rowOff>55690</xdr:rowOff>
    </xdr:from>
    <xdr:to>
      <xdr:col>29</xdr:col>
      <xdr:colOff>457674</xdr:colOff>
      <xdr:row>23</xdr:row>
      <xdr:rowOff>55690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1A9CC5E-C2D4-4D35-B1CA-10D7837826E4}"/>
            </a:ext>
          </a:extLst>
        </xdr:cNvPr>
        <xdr:cNvCxnSpPr/>
      </xdr:nvCxnSpPr>
      <xdr:spPr>
        <a:xfrm flipH="1">
          <a:off x="13478350" y="3999040"/>
          <a:ext cx="2171699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302741</xdr:colOff>
      <xdr:row>25</xdr:row>
      <xdr:rowOff>140244</xdr:rowOff>
    </xdr:from>
    <xdr:to>
      <xdr:col>29</xdr:col>
      <xdr:colOff>455140</xdr:colOff>
      <xdr:row>25</xdr:row>
      <xdr:rowOff>140244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DC78AF6F-2546-4742-9F61-A150421A1370}"/>
            </a:ext>
          </a:extLst>
        </xdr:cNvPr>
        <xdr:cNvCxnSpPr/>
      </xdr:nvCxnSpPr>
      <xdr:spPr>
        <a:xfrm flipH="1">
          <a:off x="13475816" y="4426494"/>
          <a:ext cx="2171699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48D7-4318-44D7-959E-56EBB71B9F70}">
  <dimension ref="F50:AN105"/>
  <sheetViews>
    <sheetView showGridLines="0" tabSelected="1" topLeftCell="A7" zoomScale="85" zoomScaleNormal="85" workbookViewId="0">
      <selection activeCell="AG10" sqref="AG10:AJ43"/>
    </sheetView>
  </sheetViews>
  <sheetFormatPr defaultColWidth="8.75" defaultRowHeight="13.5"/>
  <cols>
    <col min="1" max="4" width="8.75" style="1"/>
    <col min="5" max="5" width="1.875" style="1" customWidth="1"/>
    <col min="6" max="6" width="8.375" style="1" customWidth="1"/>
    <col min="7" max="7" width="8.375" style="2" customWidth="1"/>
    <col min="8" max="22" width="6.625" style="2" customWidth="1"/>
    <col min="23" max="31" width="6.625" style="1" customWidth="1"/>
    <col min="32" max="33" width="8.75" style="1"/>
    <col min="34" max="34" width="11.625" style="1" bestFit="1" customWidth="1"/>
    <col min="35" max="35" width="14.5" style="1" customWidth="1"/>
    <col min="36" max="36" width="17.125" style="1" customWidth="1"/>
    <col min="37" max="37" width="8.75" style="1"/>
    <col min="38" max="47" width="9" style="1" customWidth="1"/>
    <col min="48" max="16384" width="8.75" style="1"/>
  </cols>
  <sheetData>
    <row r="50" spans="6:37" ht="7.9" customHeight="1" thickBot="1"/>
    <row r="51" spans="6:37" s="5" customFormat="1" ht="34.5" customHeight="1">
      <c r="F51" s="229" t="s">
        <v>0</v>
      </c>
      <c r="G51" s="230"/>
      <c r="H51" s="231" t="s">
        <v>1</v>
      </c>
      <c r="I51" s="232"/>
      <c r="J51" s="233" t="s">
        <v>92</v>
      </c>
      <c r="K51" s="234"/>
      <c r="L51" s="235" t="s">
        <v>2</v>
      </c>
      <c r="M51" s="236"/>
      <c r="N51" s="236"/>
      <c r="O51" s="237" t="s">
        <v>3</v>
      </c>
      <c r="P51" s="237"/>
      <c r="Q51" s="3" t="s">
        <v>4</v>
      </c>
      <c r="R51" s="220" t="s">
        <v>5</v>
      </c>
      <c r="S51" s="221"/>
      <c r="T51" s="221"/>
      <c r="U51" s="221"/>
      <c r="V51" s="222" t="s">
        <v>6</v>
      </c>
      <c r="W51" s="223"/>
      <c r="X51" s="224" t="s">
        <v>7</v>
      </c>
      <c r="Y51" s="224"/>
      <c r="Z51" s="225" t="s">
        <v>8</v>
      </c>
      <c r="AA51" s="226"/>
      <c r="AB51" s="227"/>
      <c r="AC51" s="228" t="s">
        <v>9</v>
      </c>
      <c r="AD51" s="228"/>
      <c r="AE51" s="4" t="s">
        <v>10</v>
      </c>
    </row>
    <row r="52" spans="6:37" s="5" customFormat="1" ht="36.75" thickBot="1">
      <c r="F52" s="207" t="s">
        <v>11</v>
      </c>
      <c r="G52" s="208"/>
      <c r="H52" s="6" t="s">
        <v>12</v>
      </c>
      <c r="I52" s="7" t="s">
        <v>13</v>
      </c>
      <c r="J52" s="8" t="s">
        <v>14</v>
      </c>
      <c r="K52" s="9" t="s">
        <v>15</v>
      </c>
      <c r="L52" s="10" t="s">
        <v>16</v>
      </c>
      <c r="M52" s="11" t="s">
        <v>17</v>
      </c>
      <c r="N52" s="11" t="s">
        <v>18</v>
      </c>
      <c r="O52" s="12" t="s">
        <v>19</v>
      </c>
      <c r="P52" s="12" t="s">
        <v>13</v>
      </c>
      <c r="Q52" s="13" t="s">
        <v>13</v>
      </c>
      <c r="R52" s="14" t="s">
        <v>20</v>
      </c>
      <c r="S52" s="14" t="s">
        <v>21</v>
      </c>
      <c r="T52" s="14" t="s">
        <v>22</v>
      </c>
      <c r="U52" s="14" t="s">
        <v>21</v>
      </c>
      <c r="V52" s="15" t="s">
        <v>23</v>
      </c>
      <c r="W52" s="15" t="s">
        <v>13</v>
      </c>
      <c r="X52" s="16" t="s">
        <v>24</v>
      </c>
      <c r="Y52" s="16" t="s">
        <v>13</v>
      </c>
      <c r="Z52" s="17" t="s">
        <v>25</v>
      </c>
      <c r="AA52" s="18" t="s">
        <v>14</v>
      </c>
      <c r="AB52" s="19" t="s">
        <v>26</v>
      </c>
      <c r="AC52" s="20" t="s">
        <v>27</v>
      </c>
      <c r="AD52" s="20" t="s">
        <v>17</v>
      </c>
      <c r="AE52" s="21" t="s">
        <v>13</v>
      </c>
    </row>
    <row r="53" spans="6:37" s="5" customFormat="1" ht="54.75" customHeight="1">
      <c r="F53" s="209" t="s">
        <v>28</v>
      </c>
      <c r="G53" s="210"/>
      <c r="H53" s="214" t="s">
        <v>29</v>
      </c>
      <c r="I53" s="215"/>
      <c r="J53" s="22" t="s">
        <v>30</v>
      </c>
      <c r="K53" s="23" t="s">
        <v>31</v>
      </c>
      <c r="L53" s="24" t="s">
        <v>30</v>
      </c>
      <c r="M53" s="25" t="s">
        <v>32</v>
      </c>
      <c r="N53" s="216" t="s">
        <v>33</v>
      </c>
      <c r="O53" s="217"/>
      <c r="P53" s="217"/>
      <c r="Q53" s="217"/>
      <c r="R53" s="218"/>
      <c r="S53" s="219" t="s">
        <v>34</v>
      </c>
      <c r="T53" s="219"/>
      <c r="U53" s="187" t="s">
        <v>33</v>
      </c>
      <c r="V53" s="187"/>
      <c r="W53" s="187"/>
      <c r="X53" s="187"/>
      <c r="Y53" s="187"/>
      <c r="Z53" s="25" t="s">
        <v>32</v>
      </c>
      <c r="AA53" s="27" t="s">
        <v>30</v>
      </c>
      <c r="AB53" s="28" t="s">
        <v>31</v>
      </c>
      <c r="AC53" s="29" t="s">
        <v>30</v>
      </c>
      <c r="AD53" s="25" t="s">
        <v>32</v>
      </c>
      <c r="AE53" s="30" t="s">
        <v>29</v>
      </c>
    </row>
    <row r="54" spans="6:37" s="5" customFormat="1">
      <c r="F54" s="211"/>
      <c r="G54" s="212"/>
      <c r="H54" s="188" t="s">
        <v>35</v>
      </c>
      <c r="I54" s="189"/>
      <c r="J54" s="31" t="s">
        <v>36</v>
      </c>
      <c r="K54" s="32"/>
      <c r="L54" s="33"/>
      <c r="M54" s="25" t="s">
        <v>37</v>
      </c>
      <c r="N54" s="190" t="s">
        <v>38</v>
      </c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2"/>
      <c r="Z54" s="25" t="s">
        <v>37</v>
      </c>
      <c r="AA54" s="34" t="s">
        <v>36</v>
      </c>
      <c r="AB54" s="35"/>
      <c r="AC54" s="36"/>
      <c r="AD54" s="25" t="s">
        <v>37</v>
      </c>
      <c r="AE54" s="37" t="s">
        <v>35</v>
      </c>
      <c r="AF54" s="38" t="s">
        <v>39</v>
      </c>
      <c r="AG54" s="39"/>
      <c r="AH54" s="39"/>
      <c r="AI54" s="39"/>
    </row>
    <row r="55" spans="6:37" s="5" customFormat="1" ht="54" customHeight="1">
      <c r="F55" s="211"/>
      <c r="G55" s="212"/>
      <c r="H55" s="193" t="s">
        <v>40</v>
      </c>
      <c r="I55" s="194"/>
      <c r="J55" s="40" t="s">
        <v>41</v>
      </c>
      <c r="K55" s="197" t="s">
        <v>40</v>
      </c>
      <c r="L55" s="199" t="s">
        <v>42</v>
      </c>
      <c r="M55" s="40" t="s">
        <v>41</v>
      </c>
      <c r="N55" s="42" t="s">
        <v>33</v>
      </c>
      <c r="O55" s="42" t="s">
        <v>33</v>
      </c>
      <c r="P55" s="201" t="s">
        <v>42</v>
      </c>
      <c r="Q55" s="202"/>
      <c r="R55" s="202"/>
      <c r="S55" s="202"/>
      <c r="T55" s="202"/>
      <c r="U55" s="202"/>
      <c r="V55" s="202"/>
      <c r="W55" s="203"/>
      <c r="X55" s="42" t="s">
        <v>33</v>
      </c>
      <c r="Y55" s="177" t="s">
        <v>42</v>
      </c>
      <c r="Z55" s="42" t="s">
        <v>33</v>
      </c>
      <c r="AA55" s="43" t="s">
        <v>41</v>
      </c>
      <c r="AB55" s="175" t="s">
        <v>43</v>
      </c>
      <c r="AC55" s="177" t="s">
        <v>40</v>
      </c>
      <c r="AD55" s="40" t="s">
        <v>41</v>
      </c>
      <c r="AE55" s="179" t="s">
        <v>42</v>
      </c>
    </row>
    <row r="56" spans="6:37" s="5" customFormat="1">
      <c r="F56" s="195"/>
      <c r="G56" s="213"/>
      <c r="H56" s="195"/>
      <c r="I56" s="196"/>
      <c r="J56" s="40" t="s">
        <v>37</v>
      </c>
      <c r="K56" s="198"/>
      <c r="L56" s="200"/>
      <c r="M56" s="45" t="s">
        <v>37</v>
      </c>
      <c r="N56" s="46" t="s">
        <v>38</v>
      </c>
      <c r="O56" s="47" t="s">
        <v>38</v>
      </c>
      <c r="P56" s="204"/>
      <c r="Q56" s="205"/>
      <c r="R56" s="205"/>
      <c r="S56" s="205"/>
      <c r="T56" s="205"/>
      <c r="U56" s="205"/>
      <c r="V56" s="205"/>
      <c r="W56" s="206"/>
      <c r="X56" s="42" t="s">
        <v>38</v>
      </c>
      <c r="Y56" s="178"/>
      <c r="Z56" s="26"/>
      <c r="AA56" s="48" t="s">
        <v>37</v>
      </c>
      <c r="AB56" s="176"/>
      <c r="AC56" s="178"/>
      <c r="AD56" s="49" t="s">
        <v>37</v>
      </c>
      <c r="AE56" s="180"/>
    </row>
    <row r="57" spans="6:37" ht="27">
      <c r="F57" s="50" t="s">
        <v>44</v>
      </c>
      <c r="G57" s="51" t="s">
        <v>45</v>
      </c>
      <c r="H57" s="52">
        <f>H80-H59</f>
        <v>69.979400086720375</v>
      </c>
      <c r="I57" s="53">
        <f>I80-I59</f>
        <v>9.5012252678340019</v>
      </c>
      <c r="J57" s="53">
        <f>0-J60</f>
        <v>5.9794000867203749</v>
      </c>
      <c r="K57" s="54">
        <f>0-K60</f>
        <v>5.9794000867203749</v>
      </c>
      <c r="L57" s="52">
        <f>0-L60</f>
        <v>5.9794000867203749</v>
      </c>
      <c r="M57" s="54">
        <f>M80-M59</f>
        <v>5.9794000867203749</v>
      </c>
      <c r="N57" s="55">
        <f>N81-N61</f>
        <v>14.989999999999995</v>
      </c>
      <c r="O57" s="56">
        <f>O82-N61</f>
        <v>9.9899999999999949</v>
      </c>
      <c r="P57" s="55">
        <f>P81-P61</f>
        <v>14.989999999999995</v>
      </c>
      <c r="Q57" s="55">
        <f>Q81-Q61</f>
        <v>7.9899999999999949</v>
      </c>
      <c r="R57" s="55"/>
      <c r="S57" s="53"/>
      <c r="T57" s="53"/>
      <c r="U57" s="53"/>
      <c r="V57" s="53"/>
      <c r="W57" s="53">
        <f>W81-W61</f>
        <v>81.69</v>
      </c>
      <c r="X57" s="53">
        <f>X81-W61</f>
        <v>71.69</v>
      </c>
      <c r="Y57" s="53">
        <f>Y81-Y61</f>
        <v>51.69</v>
      </c>
      <c r="Z57" s="57">
        <f>Z80-Z59</f>
        <v>42.679400086720378</v>
      </c>
      <c r="AA57" s="58">
        <f>0-AA60</f>
        <v>42.679400086720378</v>
      </c>
      <c r="AB57" s="59">
        <f>-AB60</f>
        <v>5.9794000867203749</v>
      </c>
      <c r="AC57" s="57">
        <f>-AC60</f>
        <v>5.9794000867203749</v>
      </c>
      <c r="AD57" s="57">
        <f>AD80-AD59</f>
        <v>5.9794000867203749</v>
      </c>
      <c r="AE57" s="58">
        <f>AE81-AE61</f>
        <v>5.7594000867203761</v>
      </c>
    </row>
    <row r="58" spans="6:37" ht="13.5" customHeight="1" thickBot="1">
      <c r="F58" s="41" t="s">
        <v>46</v>
      </c>
      <c r="G58" s="60" t="s">
        <v>47</v>
      </c>
      <c r="H58" s="61"/>
      <c r="I58" s="62">
        <v>44</v>
      </c>
      <c r="J58" s="62" t="s">
        <v>48</v>
      </c>
      <c r="K58" s="63">
        <v>0</v>
      </c>
      <c r="L58" s="61">
        <v>0</v>
      </c>
      <c r="M58" s="63">
        <v>0</v>
      </c>
      <c r="N58" s="64">
        <v>-6</v>
      </c>
      <c r="O58" s="65">
        <v>-20</v>
      </c>
      <c r="P58" s="62">
        <v>30</v>
      </c>
      <c r="Q58" s="62">
        <v>30</v>
      </c>
      <c r="R58" s="62">
        <v>-6</v>
      </c>
      <c r="S58" s="62">
        <v>2.15</v>
      </c>
      <c r="T58" s="66">
        <f>-143</f>
        <v>-143</v>
      </c>
      <c r="U58" s="62">
        <v>2.15</v>
      </c>
      <c r="V58" s="62">
        <v>-2</v>
      </c>
      <c r="W58" s="62">
        <v>40</v>
      </c>
      <c r="X58" s="62">
        <v>-20</v>
      </c>
      <c r="Y58" s="62">
        <v>50</v>
      </c>
      <c r="Z58" s="62">
        <v>6</v>
      </c>
      <c r="AA58" s="67">
        <v>0</v>
      </c>
      <c r="AB58" s="65">
        <v>0</v>
      </c>
      <c r="AC58" s="62">
        <v>0</v>
      </c>
      <c r="AD58" s="62">
        <v>0</v>
      </c>
      <c r="AE58" s="67">
        <v>25</v>
      </c>
    </row>
    <row r="59" spans="6:37">
      <c r="F59" s="181" t="s">
        <v>49</v>
      </c>
      <c r="G59" s="68" t="s">
        <v>50</v>
      </c>
      <c r="H59" s="69">
        <f>AI64</f>
        <v>70.020599913279625</v>
      </c>
      <c r="I59" s="70">
        <f>H59+I58</f>
        <v>114.02059991327963</v>
      </c>
      <c r="J59" s="71">
        <f>I59</f>
        <v>114.02059991327963</v>
      </c>
      <c r="K59" s="72"/>
      <c r="L59" s="73"/>
      <c r="M59" s="74">
        <f>M80+L60</f>
        <v>108</v>
      </c>
      <c r="N59" s="75">
        <f>M59+N58</f>
        <v>102</v>
      </c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8">
        <f>Y61+106.99</f>
        <v>65.3</v>
      </c>
      <c r="Z59" s="79">
        <f>Y59+Z58</f>
        <v>71.3</v>
      </c>
      <c r="AA59" s="80">
        <f>Z59</f>
        <v>71.3</v>
      </c>
      <c r="AB59" s="76"/>
      <c r="AC59" s="77"/>
      <c r="AD59" s="79">
        <f>AD80+AD60</f>
        <v>114.02059991327963</v>
      </c>
      <c r="AE59" s="81">
        <f>AD59+AE58</f>
        <v>139.02059991327963</v>
      </c>
    </row>
    <row r="60" spans="6:37">
      <c r="F60" s="182"/>
      <c r="G60" s="82" t="s">
        <v>51</v>
      </c>
      <c r="H60" s="83"/>
      <c r="I60" s="84"/>
      <c r="J60" s="85">
        <f>I59-J$80</f>
        <v>-5.9794000867203749</v>
      </c>
      <c r="K60" s="86">
        <f>J60+K58</f>
        <v>-5.9794000867203749</v>
      </c>
      <c r="L60" s="87">
        <f>K60+L58</f>
        <v>-5.9794000867203749</v>
      </c>
      <c r="M60" s="88">
        <f>L60</f>
        <v>-5.9794000867203749</v>
      </c>
      <c r="N60" s="89"/>
      <c r="O60" s="90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91">
        <f>Z59-AA80</f>
        <v>-42.679400086720378</v>
      </c>
      <c r="AB60" s="92">
        <f>K60</f>
        <v>-5.9794000867203749</v>
      </c>
      <c r="AC60" s="85">
        <f>K60</f>
        <v>-5.9794000867203749</v>
      </c>
      <c r="AD60" s="88">
        <f>AC60+AD58</f>
        <v>-5.9794000867203749</v>
      </c>
      <c r="AE60" s="93"/>
    </row>
    <row r="61" spans="6:37" ht="14.25" thickBot="1">
      <c r="F61" s="183"/>
      <c r="G61" s="94" t="s">
        <v>52</v>
      </c>
      <c r="H61" s="95">
        <f>H59-117.78</f>
        <v>-47.759400086720376</v>
      </c>
      <c r="I61" s="96">
        <f>H61+I58</f>
        <v>-3.7594000867203761</v>
      </c>
      <c r="J61" s="97">
        <f>I61</f>
        <v>-3.7594000867203761</v>
      </c>
      <c r="K61" s="98"/>
      <c r="L61" s="95"/>
      <c r="M61" s="98"/>
      <c r="N61" s="99">
        <f>N59-106.99</f>
        <v>-4.9899999999999949</v>
      </c>
      <c r="O61" s="100">
        <f t="shared" ref="O61:Y61" si="0">N61+O58</f>
        <v>-24.989999999999995</v>
      </c>
      <c r="P61" s="101">
        <f t="shared" si="0"/>
        <v>5.0100000000000051</v>
      </c>
      <c r="Q61" s="101">
        <f t="shared" si="0"/>
        <v>35.010000000000005</v>
      </c>
      <c r="R61" s="101">
        <f t="shared" si="0"/>
        <v>29.010000000000005</v>
      </c>
      <c r="S61" s="101">
        <f t="shared" si="0"/>
        <v>31.160000000000004</v>
      </c>
      <c r="T61" s="102">
        <f t="shared" si="0"/>
        <v>-111.84</v>
      </c>
      <c r="U61" s="101">
        <f t="shared" si="0"/>
        <v>-109.69</v>
      </c>
      <c r="V61" s="101">
        <f t="shared" si="0"/>
        <v>-111.69</v>
      </c>
      <c r="W61" s="101">
        <f t="shared" si="0"/>
        <v>-71.69</v>
      </c>
      <c r="X61" s="101">
        <f t="shared" si="0"/>
        <v>-91.69</v>
      </c>
      <c r="Y61" s="101">
        <f t="shared" si="0"/>
        <v>-41.69</v>
      </c>
      <c r="Z61" s="96"/>
      <c r="AA61" s="103"/>
      <c r="AB61" s="104"/>
      <c r="AC61" s="96"/>
      <c r="AD61" s="97">
        <f>AD59-117.78</f>
        <v>-3.7594000867203761</v>
      </c>
      <c r="AE61" s="105">
        <f>AE59-117.78</f>
        <v>21.240599913279624</v>
      </c>
      <c r="AG61" s="174" t="s">
        <v>53</v>
      </c>
      <c r="AH61" s="106" t="s">
        <v>54</v>
      </c>
      <c r="AI61" s="107">
        <v>74</v>
      </c>
      <c r="AJ61" s="108">
        <f>10^(AI61/20)*0.0002</f>
        <v>1.0023744672545465</v>
      </c>
      <c r="AK61" s="109">
        <f>AJ61</f>
        <v>1.0023744672545465</v>
      </c>
    </row>
    <row r="62" spans="6:37">
      <c r="F62" s="184" t="s">
        <v>55</v>
      </c>
      <c r="G62" s="68" t="s">
        <v>50</v>
      </c>
      <c r="H62" s="69">
        <f>H66</f>
        <v>20.020599913279618</v>
      </c>
      <c r="I62" s="70">
        <f>I64+117.78</f>
        <v>64.022289323811165</v>
      </c>
      <c r="J62" s="71">
        <f>J63+J80</f>
        <v>64.052413737978512</v>
      </c>
      <c r="K62" s="72"/>
      <c r="L62" s="73"/>
      <c r="M62" s="74">
        <f>20*LOG(SQRT((10^((M80+L63)/20))^2+(10^(M66/20))^2+(10^(M69/20))^2))</f>
        <v>65.814610304874662</v>
      </c>
      <c r="N62" s="75">
        <f>N64+106.99</f>
        <v>60.479373356440696</v>
      </c>
      <c r="O62" s="76"/>
      <c r="P62" s="77"/>
      <c r="Q62" s="77"/>
      <c r="R62" s="77"/>
      <c r="S62" s="77"/>
      <c r="T62" s="77"/>
      <c r="U62" s="77"/>
      <c r="V62" s="77"/>
      <c r="W62" s="77"/>
      <c r="X62" s="77"/>
      <c r="Y62" s="78">
        <f>Y64+106.99</f>
        <v>47.349135944479649</v>
      </c>
      <c r="Z62" s="79">
        <f>20*LOG(SQRT((10^((Z58+Y64+106.99)/20))^2+(10^(Z66/20))^2+(10^(Z69/20)^2)))</f>
        <v>53.349195920508961</v>
      </c>
      <c r="AA62" s="80">
        <f>Z62</f>
        <v>53.349195920508961</v>
      </c>
      <c r="AB62" s="76"/>
      <c r="AC62" s="77"/>
      <c r="AD62" s="79">
        <f>20*LOG(SQRT((10^((AD80+AC63+AD58)/20))^2+(10^(AD66/20))^2+(10^(AD69/20))^2))</f>
        <v>64.052498984157239</v>
      </c>
      <c r="AE62" s="81">
        <f>AE64+117.78</f>
        <v>109.0641306388694</v>
      </c>
      <c r="AG62" s="174"/>
      <c r="AH62" s="106" t="s">
        <v>56</v>
      </c>
      <c r="AI62" s="107">
        <v>-50</v>
      </c>
      <c r="AJ62" s="110"/>
      <c r="AK62" s="110"/>
    </row>
    <row r="63" spans="6:37">
      <c r="F63" s="185"/>
      <c r="G63" s="82" t="s">
        <v>51</v>
      </c>
      <c r="H63" s="83"/>
      <c r="I63" s="84"/>
      <c r="J63" s="85">
        <f>20*LOG(10^((I62-J$80)/20)+10^(J67/20)+10^(J70/20))</f>
        <v>-55.947586262021488</v>
      </c>
      <c r="K63" s="86">
        <f>J63+K58</f>
        <v>-55.947586262021488</v>
      </c>
      <c r="L63" s="87">
        <f>L77</f>
        <v>-48.164799306236993</v>
      </c>
      <c r="M63" s="88">
        <f>M62-M80</f>
        <v>-48.164789781845712</v>
      </c>
      <c r="N63" s="89"/>
      <c r="O63" s="90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91">
        <f>20*LOG(SQRT((10^(((Z62+AA58)-AA80)/20)^2+(10^(AA67/20))^2+(10^(AA70/20))^2)+(10^(AA77/20))^2))</f>
        <v>-60.34070369083171</v>
      </c>
      <c r="AB63" s="92">
        <f>K63</f>
        <v>-55.947586262021488</v>
      </c>
      <c r="AC63" s="85">
        <f>K63</f>
        <v>-55.947586262021488</v>
      </c>
      <c r="AD63" s="88">
        <f>AD62-AD80</f>
        <v>-55.947501015842761</v>
      </c>
      <c r="AE63" s="93"/>
      <c r="AG63" s="174"/>
      <c r="AH63" s="172" t="s">
        <v>57</v>
      </c>
      <c r="AI63" s="111">
        <f>AK61*10^(AI62/20)</f>
        <v>3.1697863849222299E-3</v>
      </c>
      <c r="AJ63" s="110"/>
      <c r="AK63" s="110"/>
    </row>
    <row r="64" spans="6:37" ht="14.25" thickBot="1">
      <c r="F64" s="186"/>
      <c r="G64" s="94" t="s">
        <v>52</v>
      </c>
      <c r="H64" s="95">
        <f>H68</f>
        <v>-97.759400086720376</v>
      </c>
      <c r="I64" s="96">
        <f>10*LOG(10^(I68/10)+10^((H64+I58)/10))</f>
        <v>-53.757710676188836</v>
      </c>
      <c r="J64" s="97">
        <f>J62-117.78</f>
        <v>-53.727586262021489</v>
      </c>
      <c r="K64" s="98"/>
      <c r="L64" s="95"/>
      <c r="M64" s="98"/>
      <c r="N64" s="99">
        <f>10*LOG(10^((M62+N58-106.99)/10)+10^(N68/10)+10^(N71/10))</f>
        <v>-46.510626643559299</v>
      </c>
      <c r="O64" s="100">
        <f>10*LOG(10^((N64+O58)/10)+10^(O68/10)+10^(O71/10)+10^(O74/10))</f>
        <v>-65.917140822142755</v>
      </c>
      <c r="P64" s="101">
        <f>10*LOG(10^((O64+P58)/10)+10^(P68/10)+10^(P74/10))</f>
        <v>-35.916382645857688</v>
      </c>
      <c r="Q64" s="101">
        <f>10*LOG(10^((P64+Q58)/10)+10^(Q68/10)+10^(Q74/10))</f>
        <v>10.11956112826806</v>
      </c>
      <c r="R64" s="101">
        <f>Q64+R58</f>
        <v>4.1195611282680602</v>
      </c>
      <c r="S64" s="101">
        <f>R64+S58</f>
        <v>6.2695611282680606</v>
      </c>
      <c r="T64" s="102">
        <f>S64+T58</f>
        <v>-136.73043887173193</v>
      </c>
      <c r="U64" s="101">
        <f>T64+U58</f>
        <v>-134.58043887173193</v>
      </c>
      <c r="V64" s="101">
        <f>U64+V58</f>
        <v>-136.58043887173193</v>
      </c>
      <c r="W64" s="101">
        <f>10*LOG(10^((V64+W58)/10)+10^(W68/10))</f>
        <v>-89.828432999354817</v>
      </c>
      <c r="X64" s="101">
        <f>10*LOG(10^((W64+X58)/10)+10^(X68/10)+10^(X71/10))</f>
        <v>-109.80848180284309</v>
      </c>
      <c r="Y64" s="101">
        <f>10*LOG(10^((X64+Y58)/10)+10^(Y68/10))</f>
        <v>-59.640864055520346</v>
      </c>
      <c r="Z64" s="96"/>
      <c r="AA64" s="103"/>
      <c r="AB64" s="104"/>
      <c r="AC64" s="96"/>
      <c r="AD64" s="97">
        <f>AD62-117.78</f>
        <v>-53.727501015842762</v>
      </c>
      <c r="AE64" s="105">
        <f>10*LOG(10^((AD64+AE58)/10)+10^(AE68/10)+10^(AE74/10))</f>
        <v>-8.7158693611306042</v>
      </c>
      <c r="AG64" s="174"/>
      <c r="AH64" s="173"/>
      <c r="AI64" s="112">
        <f>20*LOG(AI63/0.000001)</f>
        <v>70.020599913279625</v>
      </c>
      <c r="AJ64" s="110"/>
      <c r="AK64" s="110"/>
    </row>
    <row r="65" spans="6:40" s="39" customFormat="1" ht="14.25" thickBot="1">
      <c r="F65" s="113" t="s">
        <v>58</v>
      </c>
      <c r="G65" s="114" t="s">
        <v>45</v>
      </c>
      <c r="H65" s="115">
        <f>H61-H64</f>
        <v>50</v>
      </c>
      <c r="I65" s="116">
        <f>I61-I64</f>
        <v>49.99831058946846</v>
      </c>
      <c r="J65" s="117">
        <f>J61-J64</f>
        <v>49.968186175301113</v>
      </c>
      <c r="K65" s="118">
        <f>K60-K63</f>
        <v>49.968186175301113</v>
      </c>
      <c r="L65" s="115">
        <f>L60-L63</f>
        <v>42.185399219516619</v>
      </c>
      <c r="M65" s="119"/>
      <c r="N65" s="117">
        <f t="shared" ref="N65:S65" si="1">N61-N64</f>
        <v>41.520626643559304</v>
      </c>
      <c r="O65" s="120">
        <f t="shared" si="1"/>
        <v>40.927140822142761</v>
      </c>
      <c r="P65" s="117">
        <f t="shared" si="1"/>
        <v>40.926382645857693</v>
      </c>
      <c r="Q65" s="117">
        <f t="shared" si="1"/>
        <v>24.890438871731945</v>
      </c>
      <c r="R65" s="117">
        <f t="shared" si="1"/>
        <v>24.890438871731945</v>
      </c>
      <c r="S65" s="117">
        <f t="shared" si="1"/>
        <v>24.890438871731945</v>
      </c>
      <c r="T65" s="121">
        <f>T61-T84</f>
        <v>22.019046495225069</v>
      </c>
      <c r="U65" s="122">
        <f>U61-U84</f>
        <v>24.169046495225075</v>
      </c>
      <c r="V65" s="122">
        <f>V61-V84</f>
        <v>22.169046495225075</v>
      </c>
      <c r="W65" s="117">
        <f>W61-W64</f>
        <v>18.138432999354819</v>
      </c>
      <c r="X65" s="117">
        <f>X61-X64</f>
        <v>18.118481802843093</v>
      </c>
      <c r="Y65" s="117">
        <f>Y61-Y64</f>
        <v>17.950864055520348</v>
      </c>
      <c r="Z65" s="122">
        <f>Z59-Z62</f>
        <v>17.950804079491036</v>
      </c>
      <c r="AA65" s="123">
        <f>AA59-AA62</f>
        <v>17.950804079491036</v>
      </c>
      <c r="AB65" s="120"/>
      <c r="AC65" s="122">
        <f>AC60-AC63</f>
        <v>49.968186175301113</v>
      </c>
      <c r="AD65" s="122">
        <f>AD59-AD62</f>
        <v>49.968100929122386</v>
      </c>
      <c r="AE65" s="124">
        <f>AE61-AE64</f>
        <v>29.956469274410228</v>
      </c>
      <c r="AG65" s="174" t="s">
        <v>59</v>
      </c>
      <c r="AH65" s="106" t="s">
        <v>54</v>
      </c>
      <c r="AI65" s="107">
        <v>24</v>
      </c>
      <c r="AJ65" s="108">
        <f>10^(AI65/20)*0.0002</f>
        <v>3.1697863849222273E-3</v>
      </c>
      <c r="AK65" s="109">
        <f>AJ65</f>
        <v>3.1697863849222273E-3</v>
      </c>
    </row>
    <row r="66" spans="6:40">
      <c r="F66" s="166" t="s">
        <v>60</v>
      </c>
      <c r="G66" s="125" t="s">
        <v>61</v>
      </c>
      <c r="H66" s="126">
        <f>AI68</f>
        <v>20.020599913279618</v>
      </c>
      <c r="I66" s="57">
        <f>I68+117.78</f>
        <v>29.920953504774928</v>
      </c>
      <c r="J66" s="57">
        <f>J68+117.78</f>
        <v>-6.0790464952250716</v>
      </c>
      <c r="K66" s="127"/>
      <c r="L66" s="126"/>
      <c r="M66" s="57">
        <f>M68+106.99</f>
        <v>3.1309535047749222</v>
      </c>
      <c r="N66" s="128">
        <f>N68+106.99</f>
        <v>3.1309535047749222</v>
      </c>
      <c r="O66" s="59">
        <f>O68+106.99</f>
        <v>-6.8690464952250778</v>
      </c>
      <c r="P66" s="57">
        <f>P68+106.99</f>
        <v>28.130953504774922</v>
      </c>
      <c r="Q66" s="57">
        <f>Q68+106.99</f>
        <v>28.130953504774922</v>
      </c>
      <c r="R66" s="57"/>
      <c r="S66" s="57"/>
      <c r="T66" s="57"/>
      <c r="U66" s="57"/>
      <c r="V66" s="57"/>
      <c r="W66" s="57">
        <f>W68+106.99</f>
        <v>16.130953504774922</v>
      </c>
      <c r="X66" s="57">
        <f>X68+106.99</f>
        <v>-26.869046495225078</v>
      </c>
      <c r="Y66" s="57">
        <f>Y68+106.99</f>
        <v>33.130953504774922</v>
      </c>
      <c r="Z66" s="57">
        <f>Z68+120</f>
        <v>2.1409535047749273</v>
      </c>
      <c r="AA66" s="58">
        <f>AA68+120</f>
        <v>6.1409535047749273</v>
      </c>
      <c r="AB66" s="59"/>
      <c r="AC66" s="57"/>
      <c r="AD66" s="57">
        <f>AD68+117.78</f>
        <v>13.920953504774928</v>
      </c>
      <c r="AE66" s="58">
        <f>AE68+117.78</f>
        <v>18.920953504774928</v>
      </c>
      <c r="AG66" s="174"/>
      <c r="AH66" s="106" t="s">
        <v>56</v>
      </c>
      <c r="AI66" s="107">
        <v>-50</v>
      </c>
      <c r="AJ66" s="110"/>
      <c r="AK66" s="110"/>
    </row>
    <row r="67" spans="6:40">
      <c r="F67" s="166"/>
      <c r="G67" s="51" t="s">
        <v>51</v>
      </c>
      <c r="H67" s="52"/>
      <c r="I67" s="53"/>
      <c r="J67" s="53">
        <f>J66-J$80</f>
        <v>-126.07904649522507</v>
      </c>
      <c r="K67" s="54"/>
      <c r="L67" s="52"/>
      <c r="M67" s="53"/>
      <c r="N67" s="55"/>
      <c r="O67" s="56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9">
        <f>AA66-AA80</f>
        <v>-107.83844658194545</v>
      </c>
      <c r="AB67" s="56"/>
      <c r="AC67" s="53"/>
      <c r="AD67" s="53">
        <f>AD66-AD$80</f>
        <v>-106.07904649522507</v>
      </c>
      <c r="AE67" s="129"/>
      <c r="AG67" s="174"/>
      <c r="AH67" s="172" t="s">
        <v>57</v>
      </c>
      <c r="AI67" s="111">
        <f>AK65*10^(AI66/20)</f>
        <v>1.0023744672545438E-5</v>
      </c>
      <c r="AJ67" s="110"/>
      <c r="AK67" s="110"/>
    </row>
    <row r="68" spans="6:40">
      <c r="F68" s="167"/>
      <c r="G68" s="51" t="s">
        <v>52</v>
      </c>
      <c r="H68" s="52">
        <f>H66-117.78</f>
        <v>-97.759400086720376</v>
      </c>
      <c r="I68" s="53">
        <f>10*LOG($AH$81*1000*I78*1000)+I79+I58</f>
        <v>-87.859046495225073</v>
      </c>
      <c r="J68" s="53">
        <f>10*LOG($AH$81*1000*J78*1000)+J79+0</f>
        <v>-123.85904649522507</v>
      </c>
      <c r="K68" s="54"/>
      <c r="L68" s="52"/>
      <c r="M68" s="53">
        <f>10*LOG($AH$81*1000*M78*1000)+M79+0</f>
        <v>-103.85904649522507</v>
      </c>
      <c r="N68" s="55">
        <f>10*LOG($AH$81*1000*N78*1000)+N79+0</f>
        <v>-103.85904649522507</v>
      </c>
      <c r="O68" s="56">
        <f>10*LOG($AH$81*1000*O78*1000)+O79+0</f>
        <v>-113.85904649522507</v>
      </c>
      <c r="P68" s="53">
        <f>10*LOG($AH$81*1000*P78*1000)+P79+P58</f>
        <v>-78.859046495225073</v>
      </c>
      <c r="Q68" s="53">
        <f>10*LOG($AH$81*1000*Q78*1000)+Q79+Q58</f>
        <v>-78.859046495225073</v>
      </c>
      <c r="R68" s="53"/>
      <c r="S68" s="53"/>
      <c r="T68" s="53"/>
      <c r="U68" s="53"/>
      <c r="V68" s="53"/>
      <c r="W68" s="53">
        <f>10*LOG($AH$81*1000*W78*1000)+W79+W58</f>
        <v>-90.859046495225073</v>
      </c>
      <c r="X68" s="53">
        <f>10*LOG($AH$81*1000*X78*1000)+X79+X58</f>
        <v>-133.85904649522507</v>
      </c>
      <c r="Y68" s="53">
        <f>10*LOG($AH$81*1000*Y78*1000)+Y79+Y58</f>
        <v>-73.859046495225073</v>
      </c>
      <c r="Z68" s="53">
        <f>10*LOG($AH$81*1000*Z78*1000)+Z79+Z58</f>
        <v>-117.85904649522507</v>
      </c>
      <c r="AA68" s="129">
        <f>10*LOG($AH$81*1000*AA78*1000)+AA79+0</f>
        <v>-113.85904649522507</v>
      </c>
      <c r="AB68" s="56"/>
      <c r="AC68" s="53"/>
      <c r="AD68" s="53">
        <f>M68</f>
        <v>-103.85904649522507</v>
      </c>
      <c r="AE68" s="129">
        <f>10*LOG($AH$81*1000*AE78*1000)+AE79+AE58</f>
        <v>-98.859046495225073</v>
      </c>
      <c r="AG68" s="174"/>
      <c r="AH68" s="173"/>
      <c r="AI68" s="112">
        <f>20*LOG(AI67/0.000001)</f>
        <v>20.020599913279618</v>
      </c>
      <c r="AJ68" s="110"/>
      <c r="AK68" s="110"/>
    </row>
    <row r="69" spans="6:40">
      <c r="F69" s="165" t="s">
        <v>62</v>
      </c>
      <c r="G69" s="51" t="s">
        <v>61</v>
      </c>
      <c r="H69" s="52"/>
      <c r="I69" s="53"/>
      <c r="J69" s="53"/>
      <c r="K69" s="54"/>
      <c r="L69" s="52"/>
      <c r="M69" s="54">
        <f>M59-M72</f>
        <v>8</v>
      </c>
      <c r="N69" s="55"/>
      <c r="O69" s="56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>
        <f>Z59-Z72</f>
        <v>1.2999999999999972</v>
      </c>
      <c r="AA69" s="129"/>
      <c r="AB69" s="56"/>
      <c r="AC69" s="53"/>
      <c r="AD69" s="53">
        <f>AD59-AD72</f>
        <v>14.020599913279625</v>
      </c>
      <c r="AE69" s="129"/>
      <c r="AG69" s="174" t="s">
        <v>63</v>
      </c>
      <c r="AH69" s="106" t="s">
        <v>54</v>
      </c>
      <c r="AI69" s="107">
        <v>144</v>
      </c>
      <c r="AJ69" s="108">
        <f>10^(AI69/20)*0.0002</f>
        <v>3169.7863849222344</v>
      </c>
      <c r="AK69" s="109">
        <f>AJ69</f>
        <v>3169.7863849222344</v>
      </c>
    </row>
    <row r="70" spans="6:40">
      <c r="F70" s="166"/>
      <c r="G70" s="51" t="s">
        <v>51</v>
      </c>
      <c r="H70" s="52"/>
      <c r="I70" s="53"/>
      <c r="J70" s="53">
        <f>J60-J72</f>
        <v>-105.97940008672037</v>
      </c>
      <c r="K70" s="54"/>
      <c r="L70" s="52"/>
      <c r="M70" s="54"/>
      <c r="N70" s="55"/>
      <c r="O70" s="56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9">
        <f>AA60-AA72</f>
        <v>-142.67940008672036</v>
      </c>
      <c r="AB70" s="56"/>
      <c r="AC70" s="53"/>
      <c r="AD70" s="53">
        <f>AD60-AD72</f>
        <v>-105.97940008672037</v>
      </c>
      <c r="AE70" s="129"/>
      <c r="AG70" s="174"/>
      <c r="AH70" s="106" t="s">
        <v>56</v>
      </c>
      <c r="AI70" s="107">
        <v>-50</v>
      </c>
      <c r="AJ70" s="110"/>
      <c r="AK70" s="110"/>
    </row>
    <row r="71" spans="6:40">
      <c r="F71" s="166"/>
      <c r="G71" s="51" t="s">
        <v>52</v>
      </c>
      <c r="H71" s="52"/>
      <c r="I71" s="53"/>
      <c r="J71" s="53"/>
      <c r="K71" s="54"/>
      <c r="L71" s="52"/>
      <c r="M71" s="54"/>
      <c r="N71" s="55">
        <f>N61-N72</f>
        <v>-54.989999999999995</v>
      </c>
      <c r="O71" s="56">
        <f>O61-O72</f>
        <v>-74.989999999999995</v>
      </c>
      <c r="P71" s="53"/>
      <c r="Q71" s="53"/>
      <c r="R71" s="53"/>
      <c r="S71" s="53"/>
      <c r="T71" s="53"/>
      <c r="U71" s="53"/>
      <c r="V71" s="53"/>
      <c r="W71" s="53"/>
      <c r="X71" s="53">
        <f>X61-X72</f>
        <v>-141.69</v>
      </c>
      <c r="Y71" s="53"/>
      <c r="Z71" s="53"/>
      <c r="AA71" s="129"/>
      <c r="AB71" s="56"/>
      <c r="AC71" s="53"/>
      <c r="AD71" s="53"/>
      <c r="AE71" s="129"/>
      <c r="AG71" s="174"/>
      <c r="AH71" s="172" t="s">
        <v>57</v>
      </c>
      <c r="AI71" s="111">
        <f>AK69*10^(AI70/20)</f>
        <v>10.02374467254546</v>
      </c>
      <c r="AJ71" s="110"/>
      <c r="AK71" s="110"/>
    </row>
    <row r="72" spans="6:40">
      <c r="F72" s="167"/>
      <c r="G72" s="51" t="s">
        <v>64</v>
      </c>
      <c r="H72" s="52"/>
      <c r="I72" s="53"/>
      <c r="J72" s="53">
        <v>100</v>
      </c>
      <c r="K72" s="54"/>
      <c r="L72" s="52"/>
      <c r="M72" s="54">
        <v>100</v>
      </c>
      <c r="N72" s="55">
        <v>50</v>
      </c>
      <c r="O72" s="56">
        <v>50</v>
      </c>
      <c r="P72" s="53"/>
      <c r="Q72" s="53"/>
      <c r="R72" s="53"/>
      <c r="S72" s="53"/>
      <c r="T72" s="53"/>
      <c r="U72" s="53"/>
      <c r="V72" s="53"/>
      <c r="W72" s="53"/>
      <c r="X72" s="53">
        <v>50</v>
      </c>
      <c r="Y72" s="53"/>
      <c r="Z72" s="53">
        <v>70</v>
      </c>
      <c r="AA72" s="129">
        <v>100</v>
      </c>
      <c r="AB72" s="56"/>
      <c r="AC72" s="53"/>
      <c r="AD72" s="53">
        <v>100</v>
      </c>
      <c r="AE72" s="129"/>
      <c r="AG72" s="174"/>
      <c r="AH72" s="173"/>
      <c r="AI72" s="112">
        <f>20*LOG(AI71/0.000001)</f>
        <v>140.02059991327963</v>
      </c>
      <c r="AJ72" s="110"/>
      <c r="AK72" s="110"/>
    </row>
    <row r="73" spans="6:40">
      <c r="F73" s="165" t="s">
        <v>65</v>
      </c>
      <c r="G73" s="51" t="s">
        <v>61</v>
      </c>
      <c r="H73" s="52"/>
      <c r="I73" s="53"/>
      <c r="J73" s="53"/>
      <c r="K73" s="54"/>
      <c r="L73" s="52"/>
      <c r="M73" s="54"/>
      <c r="N73" s="55"/>
      <c r="O73" s="56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9"/>
      <c r="AB73" s="56"/>
      <c r="AC73" s="53"/>
      <c r="AD73" s="53"/>
      <c r="AE73" s="129">
        <f>AE74+117.78</f>
        <v>109.02059991327963</v>
      </c>
    </row>
    <row r="74" spans="6:40">
      <c r="F74" s="166"/>
      <c r="G74" s="51" t="s">
        <v>52</v>
      </c>
      <c r="H74" s="52"/>
      <c r="I74" s="53"/>
      <c r="J74" s="53"/>
      <c r="K74" s="54"/>
      <c r="L74" s="52"/>
      <c r="M74" s="54"/>
      <c r="N74" s="55"/>
      <c r="O74" s="56">
        <f>O61+O75</f>
        <v>-89.99</v>
      </c>
      <c r="P74" s="53">
        <f>P61+P75</f>
        <v>-74.989999999999995</v>
      </c>
      <c r="Q74" s="53">
        <f>Q61+Q75</f>
        <v>10.010000000000005</v>
      </c>
      <c r="R74" s="53"/>
      <c r="S74" s="53"/>
      <c r="T74" s="53"/>
      <c r="U74" s="53"/>
      <c r="V74" s="53"/>
      <c r="W74" s="53"/>
      <c r="X74" s="53"/>
      <c r="Y74" s="53"/>
      <c r="Z74" s="53"/>
      <c r="AA74" s="129"/>
      <c r="AB74" s="56"/>
      <c r="AC74" s="53"/>
      <c r="AD74" s="53"/>
      <c r="AE74" s="129">
        <f>AE61+AE75</f>
        <v>-8.7594000867203761</v>
      </c>
    </row>
    <row r="75" spans="6:40">
      <c r="F75" s="167"/>
      <c r="G75" s="51" t="s">
        <v>64</v>
      </c>
      <c r="H75" s="52"/>
      <c r="I75" s="53"/>
      <c r="J75" s="53"/>
      <c r="K75" s="54"/>
      <c r="L75" s="52"/>
      <c r="M75" s="54"/>
      <c r="N75" s="55"/>
      <c r="O75" s="56">
        <v>-65</v>
      </c>
      <c r="P75" s="53">
        <v>-80</v>
      </c>
      <c r="Q75" s="53">
        <v>-25</v>
      </c>
      <c r="R75" s="53"/>
      <c r="S75" s="53"/>
      <c r="T75" s="53"/>
      <c r="U75" s="53"/>
      <c r="V75" s="53"/>
      <c r="W75" s="53"/>
      <c r="X75" s="53"/>
      <c r="Y75" s="53"/>
      <c r="Z75" s="53"/>
      <c r="AA75" s="129"/>
      <c r="AB75" s="56"/>
      <c r="AC75" s="53"/>
      <c r="AD75" s="53"/>
      <c r="AE75" s="129">
        <v>-30</v>
      </c>
    </row>
    <row r="76" spans="6:40">
      <c r="F76" s="130" t="s">
        <v>66</v>
      </c>
      <c r="G76" s="51"/>
      <c r="H76" s="52"/>
      <c r="I76" s="53"/>
      <c r="J76" s="53">
        <v>12</v>
      </c>
      <c r="K76" s="54"/>
      <c r="L76" s="132">
        <v>8</v>
      </c>
      <c r="M76" s="54"/>
      <c r="N76" s="55"/>
      <c r="O76" s="56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9">
        <v>12</v>
      </c>
      <c r="AB76" s="56">
        <v>12</v>
      </c>
      <c r="AC76" s="53">
        <v>12</v>
      </c>
      <c r="AD76" s="53">
        <f>AC76</f>
        <v>12</v>
      </c>
      <c r="AE76" s="129"/>
    </row>
    <row r="77" spans="6:40" ht="27">
      <c r="F77" s="44" t="s">
        <v>67</v>
      </c>
      <c r="G77" s="51" t="s">
        <v>68</v>
      </c>
      <c r="H77" s="52"/>
      <c r="I77" s="53"/>
      <c r="J77" s="53">
        <f>20*LOG(2^(-J76))</f>
        <v>-72.247198959355487</v>
      </c>
      <c r="K77" s="54"/>
      <c r="L77" s="52">
        <f>20*LOG(2^(-L76))</f>
        <v>-48.164799306236993</v>
      </c>
      <c r="M77" s="53"/>
      <c r="N77" s="55"/>
      <c r="O77" s="56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9">
        <f>20*LOG(2^(-AA76))</f>
        <v>-72.247198959355487</v>
      </c>
      <c r="AB77" s="53">
        <f>20*LOG(2^(-AB76))</f>
        <v>-72.247198959355487</v>
      </c>
      <c r="AC77" s="53">
        <f>20*LOG(2^(-AC76))</f>
        <v>-72.247198959355487</v>
      </c>
      <c r="AD77" s="53">
        <f>AC77</f>
        <v>-72.247198959355487</v>
      </c>
      <c r="AE77" s="129"/>
      <c r="AG77" s="133" t="s">
        <v>69</v>
      </c>
      <c r="AH77" s="134"/>
      <c r="AI77" s="134"/>
      <c r="AJ77" s="134"/>
      <c r="AK77" s="134"/>
    </row>
    <row r="78" spans="6:40" ht="14.25" thickBot="1">
      <c r="F78" s="130" t="s">
        <v>70</v>
      </c>
      <c r="G78" s="51" t="s">
        <v>71</v>
      </c>
      <c r="H78" s="52">
        <v>10</v>
      </c>
      <c r="I78" s="53">
        <v>10</v>
      </c>
      <c r="J78" s="53">
        <f>I78</f>
        <v>10</v>
      </c>
      <c r="K78" s="54"/>
      <c r="L78" s="52"/>
      <c r="M78" s="54">
        <v>10</v>
      </c>
      <c r="N78" s="55">
        <v>10</v>
      </c>
      <c r="O78" s="56">
        <v>10</v>
      </c>
      <c r="P78" s="56">
        <v>10</v>
      </c>
      <c r="Q78" s="56">
        <v>10</v>
      </c>
      <c r="R78" s="56">
        <v>10</v>
      </c>
      <c r="S78" s="53">
        <v>10</v>
      </c>
      <c r="T78" s="53">
        <v>10</v>
      </c>
      <c r="U78" s="53">
        <v>10</v>
      </c>
      <c r="V78" s="53">
        <v>10</v>
      </c>
      <c r="W78" s="53">
        <v>10</v>
      </c>
      <c r="X78" s="53">
        <v>10</v>
      </c>
      <c r="Y78" s="53">
        <v>10</v>
      </c>
      <c r="Z78" s="53">
        <v>10</v>
      </c>
      <c r="AA78" s="129">
        <v>10</v>
      </c>
      <c r="AB78" s="56"/>
      <c r="AC78" s="53"/>
      <c r="AD78" s="53"/>
      <c r="AE78" s="129">
        <v>10</v>
      </c>
      <c r="AG78" s="134"/>
      <c r="AH78" s="134"/>
      <c r="AI78" s="134"/>
      <c r="AJ78" s="134"/>
      <c r="AK78" s="134"/>
      <c r="AL78" s="134"/>
      <c r="AM78" s="134"/>
      <c r="AN78" s="134"/>
    </row>
    <row r="79" spans="6:40" ht="15.75" thickBot="1">
      <c r="F79" s="168" t="s">
        <v>72</v>
      </c>
      <c r="G79" s="169"/>
      <c r="H79" s="52"/>
      <c r="I79" s="53">
        <v>2</v>
      </c>
      <c r="J79" s="53">
        <v>10</v>
      </c>
      <c r="K79" s="54"/>
      <c r="L79" s="52"/>
      <c r="M79" s="54">
        <v>30</v>
      </c>
      <c r="N79" s="55">
        <v>30</v>
      </c>
      <c r="O79" s="56">
        <v>20</v>
      </c>
      <c r="P79" s="53">
        <v>25</v>
      </c>
      <c r="Q79" s="53">
        <v>25</v>
      </c>
      <c r="R79" s="53"/>
      <c r="S79" s="53"/>
      <c r="T79" s="53"/>
      <c r="U79" s="53"/>
      <c r="V79" s="53"/>
      <c r="W79" s="53">
        <v>3</v>
      </c>
      <c r="X79" s="53">
        <v>20</v>
      </c>
      <c r="Y79" s="53">
        <v>10</v>
      </c>
      <c r="Z79" s="53">
        <v>10</v>
      </c>
      <c r="AA79" s="129">
        <v>20</v>
      </c>
      <c r="AB79" s="56"/>
      <c r="AC79" s="53"/>
      <c r="AD79" s="53"/>
      <c r="AE79" s="129">
        <v>10</v>
      </c>
      <c r="AG79" s="136" t="s">
        <v>73</v>
      </c>
      <c r="AH79" s="137">
        <v>25</v>
      </c>
      <c r="AI79" s="138" t="s">
        <v>74</v>
      </c>
      <c r="AJ79" s="139">
        <f>AH79+273</f>
        <v>298</v>
      </c>
      <c r="AK79" s="138" t="s">
        <v>75</v>
      </c>
      <c r="AL79" s="134"/>
      <c r="AM79" s="134"/>
      <c r="AN79" s="134"/>
    </row>
    <row r="80" spans="6:40" ht="17.25" thickBot="1">
      <c r="F80" s="135" t="s">
        <v>76</v>
      </c>
      <c r="G80" s="51" t="s">
        <v>61</v>
      </c>
      <c r="H80" s="52">
        <v>140</v>
      </c>
      <c r="I80" s="53">
        <f>20*LOG(1.5/0.000001)</f>
        <v>123.52182518111363</v>
      </c>
      <c r="J80" s="140">
        <f>20*LOG(1/0.000001)</f>
        <v>120</v>
      </c>
      <c r="K80" s="54"/>
      <c r="L80" s="141">
        <f>20*LOG(0.5/0.000001)</f>
        <v>113.97940008672037</v>
      </c>
      <c r="M80" s="142">
        <f>20*LOG(0.5/0.000001)</f>
        <v>113.97940008672037</v>
      </c>
      <c r="N80" s="55"/>
      <c r="O80" s="56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>
        <f>20*LOG(0.5/0.000001)</f>
        <v>113.97940008672037</v>
      </c>
      <c r="AA80" s="143">
        <f>20*LOG(0.5/0.000001)</f>
        <v>113.97940008672037</v>
      </c>
      <c r="AB80" s="56"/>
      <c r="AC80" s="53"/>
      <c r="AD80" s="53">
        <f>20*LOG(1/0.000001)</f>
        <v>120</v>
      </c>
      <c r="AE80" s="129"/>
      <c r="AG80" s="136" t="s">
        <v>77</v>
      </c>
      <c r="AH80" s="137">
        <v>10</v>
      </c>
      <c r="AI80" s="138" t="s">
        <v>78</v>
      </c>
      <c r="AJ80" s="144">
        <f>AH80*1000</f>
        <v>10000</v>
      </c>
      <c r="AK80" s="138" t="s">
        <v>79</v>
      </c>
      <c r="AL80" s="145" t="s">
        <v>80</v>
      </c>
      <c r="AM80" s="144">
        <v>1.3800000000000001E-23</v>
      </c>
      <c r="AN80" s="138" t="s">
        <v>81</v>
      </c>
    </row>
    <row r="81" spans="6:40" ht="16.5">
      <c r="F81" s="135" t="s">
        <v>82</v>
      </c>
      <c r="G81" s="51" t="s">
        <v>52</v>
      </c>
      <c r="H81" s="52"/>
      <c r="I81" s="53"/>
      <c r="J81" s="53"/>
      <c r="K81" s="54"/>
      <c r="L81" s="52"/>
      <c r="M81" s="54"/>
      <c r="N81" s="55">
        <v>10</v>
      </c>
      <c r="O81" s="56"/>
      <c r="P81" s="53">
        <v>20</v>
      </c>
      <c r="Q81" s="53">
        <v>43</v>
      </c>
      <c r="R81" s="53"/>
      <c r="S81" s="53"/>
      <c r="T81" s="53"/>
      <c r="U81" s="53"/>
      <c r="V81" s="53"/>
      <c r="W81" s="53">
        <v>10</v>
      </c>
      <c r="X81" s="53"/>
      <c r="Y81" s="53">
        <v>10</v>
      </c>
      <c r="Z81" s="53"/>
      <c r="AA81" s="129"/>
      <c r="AB81" s="56"/>
      <c r="AC81" s="53"/>
      <c r="AD81" s="53"/>
      <c r="AE81" s="129">
        <v>27</v>
      </c>
      <c r="AG81" s="136" t="s">
        <v>83</v>
      </c>
      <c r="AH81" s="144">
        <f>AM80*AJ79</f>
        <v>4.1124E-21</v>
      </c>
      <c r="AI81" s="138" t="s">
        <v>84</v>
      </c>
      <c r="AJ81" s="144">
        <f>10*LOG(AH81/0.001)</f>
        <v>-173.85904649522507</v>
      </c>
      <c r="AK81" s="138" t="s">
        <v>85</v>
      </c>
      <c r="AL81" s="138"/>
      <c r="AM81" s="134"/>
      <c r="AN81" s="138"/>
    </row>
    <row r="82" spans="6:40" ht="17.25" thickBot="1">
      <c r="F82" s="131" t="s">
        <v>86</v>
      </c>
      <c r="G82" s="60" t="s">
        <v>52</v>
      </c>
      <c r="H82" s="146"/>
      <c r="I82" s="147"/>
      <c r="J82" s="147"/>
      <c r="K82" s="148"/>
      <c r="L82" s="146"/>
      <c r="M82" s="148"/>
      <c r="N82" s="149">
        <f>O82</f>
        <v>5</v>
      </c>
      <c r="O82" s="150">
        <v>5</v>
      </c>
      <c r="P82" s="147"/>
      <c r="Q82" s="147"/>
      <c r="R82" s="147"/>
      <c r="S82" s="147"/>
      <c r="T82" s="147"/>
      <c r="U82" s="147"/>
      <c r="V82" s="147"/>
      <c r="W82" s="151">
        <f>X82</f>
        <v>5</v>
      </c>
      <c r="X82" s="147">
        <v>5</v>
      </c>
      <c r="Y82" s="147"/>
      <c r="Z82" s="147"/>
      <c r="AA82" s="152"/>
      <c r="AB82" s="150"/>
      <c r="AC82" s="147"/>
      <c r="AD82" s="147"/>
      <c r="AE82" s="152"/>
      <c r="AG82" s="134"/>
      <c r="AH82" s="144">
        <f>AM80*AJ79*AJ80</f>
        <v>4.1123999999999998E-17</v>
      </c>
      <c r="AI82" s="138" t="s">
        <v>87</v>
      </c>
      <c r="AJ82" s="144">
        <f>10*LOG(AH82/0.001)</f>
        <v>-133.85904649522507</v>
      </c>
      <c r="AK82" s="138" t="s">
        <v>88</v>
      </c>
      <c r="AL82" s="138"/>
      <c r="AM82" s="134"/>
      <c r="AN82" s="138"/>
    </row>
    <row r="83" spans="6:40" ht="18.75" customHeight="1">
      <c r="F83" s="170" t="s">
        <v>89</v>
      </c>
      <c r="G83" s="153" t="s">
        <v>90</v>
      </c>
      <c r="H83" s="154">
        <f>H84+117.78</f>
        <v>-16.079046495225072</v>
      </c>
      <c r="I83" s="155">
        <f>I84+117.78</f>
        <v>-16.079046495225072</v>
      </c>
      <c r="J83" s="156">
        <f>J84+117.78</f>
        <v>-16.079046495225072</v>
      </c>
      <c r="K83" s="157"/>
      <c r="L83" s="154"/>
      <c r="M83" s="155"/>
      <c r="N83" s="158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>
        <f>Z84+120</f>
        <v>-13.859046495225073</v>
      </c>
      <c r="AA83" s="159">
        <f>AA84+120</f>
        <v>-13.859046495225073</v>
      </c>
      <c r="AB83" s="160"/>
      <c r="AC83" s="155"/>
      <c r="AD83" s="155"/>
      <c r="AE83" s="157"/>
      <c r="AH83" s="1">
        <f>10*LOG(AH82)</f>
        <v>-163.85904649522507</v>
      </c>
      <c r="AL83" s="134"/>
      <c r="AM83" s="134"/>
      <c r="AN83" s="134"/>
    </row>
    <row r="84" spans="6:40" ht="17.45" customHeight="1" thickBot="1">
      <c r="F84" s="171"/>
      <c r="G84" s="161" t="s">
        <v>91</v>
      </c>
      <c r="H84" s="146">
        <f>10*LOG($AH$81*1000*H78*1000)</f>
        <v>-133.85904649522507</v>
      </c>
      <c r="I84" s="147">
        <f>10*LOG($AH$81*1000*I78*1000)</f>
        <v>-133.85904649522507</v>
      </c>
      <c r="J84" s="162">
        <f>10*LOG($AH$81*1000*J78*1000)</f>
        <v>-133.85904649522507</v>
      </c>
      <c r="K84" s="152"/>
      <c r="L84" s="146"/>
      <c r="M84" s="147">
        <f t="shared" ref="M84:AA84" si="2">10*LOG($AH$81*1000*M78*1000)</f>
        <v>-133.85904649522507</v>
      </c>
      <c r="N84" s="147">
        <f t="shared" si="2"/>
        <v>-133.85904649522507</v>
      </c>
      <c r="O84" s="147">
        <f t="shared" si="2"/>
        <v>-133.85904649522507</v>
      </c>
      <c r="P84" s="147">
        <f t="shared" si="2"/>
        <v>-133.85904649522507</v>
      </c>
      <c r="Q84" s="147">
        <f t="shared" si="2"/>
        <v>-133.85904649522507</v>
      </c>
      <c r="R84" s="147">
        <f t="shared" si="2"/>
        <v>-133.85904649522507</v>
      </c>
      <c r="S84" s="147">
        <f t="shared" si="2"/>
        <v>-133.85904649522507</v>
      </c>
      <c r="T84" s="147">
        <f t="shared" si="2"/>
        <v>-133.85904649522507</v>
      </c>
      <c r="U84" s="147">
        <f t="shared" si="2"/>
        <v>-133.85904649522507</v>
      </c>
      <c r="V84" s="147">
        <f t="shared" si="2"/>
        <v>-133.85904649522507</v>
      </c>
      <c r="W84" s="147">
        <f t="shared" si="2"/>
        <v>-133.85904649522507</v>
      </c>
      <c r="X84" s="147">
        <f t="shared" si="2"/>
        <v>-133.85904649522507</v>
      </c>
      <c r="Y84" s="147">
        <f t="shared" si="2"/>
        <v>-133.85904649522507</v>
      </c>
      <c r="Z84" s="147">
        <f t="shared" si="2"/>
        <v>-133.85904649522507</v>
      </c>
      <c r="AA84" s="163">
        <f t="shared" si="2"/>
        <v>-133.85904649522507</v>
      </c>
      <c r="AB84" s="150"/>
      <c r="AC84" s="147"/>
      <c r="AD84" s="147"/>
      <c r="AE84" s="164">
        <f>10*LOG($AH$81*1000*AE78*1000)</f>
        <v>-133.85904649522507</v>
      </c>
    </row>
    <row r="85" spans="6:40" ht="17.45" customHeight="1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40" ht="17.45" customHeight="1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40" ht="17.45" customHeight="1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40" ht="17.45" customHeight="1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40" ht="17.45" customHeight="1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40" ht="17.45" customHeight="1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40" ht="17.45" customHeight="1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40" ht="17.45" customHeight="1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40" ht="17.45" customHeight="1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40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40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40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7:9" s="1" customFormat="1">
      <c r="G97" s="2"/>
      <c r="H97" s="2"/>
      <c r="I97" s="2"/>
    </row>
    <row r="98" spans="7:9" s="1" customFormat="1">
      <c r="G98" s="2"/>
      <c r="H98" s="2"/>
      <c r="I98" s="2"/>
    </row>
    <row r="99" spans="7:9" s="1" customFormat="1">
      <c r="G99" s="2"/>
      <c r="H99" s="2"/>
      <c r="I99" s="2"/>
    </row>
    <row r="100" spans="7:9" s="1" customFormat="1">
      <c r="G100" s="2"/>
      <c r="H100" s="2"/>
      <c r="I100" s="2"/>
    </row>
    <row r="101" spans="7:9" s="1" customFormat="1">
      <c r="G101" s="2"/>
      <c r="H101" s="2"/>
      <c r="I101" s="2"/>
    </row>
    <row r="102" spans="7:9" s="1" customFormat="1">
      <c r="G102" s="2"/>
      <c r="H102" s="2"/>
      <c r="I102" s="2"/>
    </row>
    <row r="103" spans="7:9" s="1" customFormat="1">
      <c r="G103" s="2"/>
      <c r="H103" s="2"/>
      <c r="I103" s="2"/>
    </row>
    <row r="104" spans="7:9" s="1" customFormat="1">
      <c r="G104" s="2"/>
      <c r="H104" s="2"/>
      <c r="I104" s="2"/>
    </row>
    <row r="105" spans="7:9" s="1" customFormat="1">
      <c r="G105" s="2"/>
      <c r="H105" s="2"/>
      <c r="I105" s="2"/>
    </row>
  </sheetData>
  <mergeCells count="39">
    <mergeCell ref="F51:G51"/>
    <mergeCell ref="H51:I51"/>
    <mergeCell ref="J51:K51"/>
    <mergeCell ref="L51:N51"/>
    <mergeCell ref="O51:P51"/>
    <mergeCell ref="R51:U51"/>
    <mergeCell ref="V51:W51"/>
    <mergeCell ref="X51:Y51"/>
    <mergeCell ref="Z51:AB51"/>
    <mergeCell ref="AC51:AD51"/>
    <mergeCell ref="F52:G52"/>
    <mergeCell ref="F53:G56"/>
    <mergeCell ref="H53:I53"/>
    <mergeCell ref="N53:R53"/>
    <mergeCell ref="S53:T53"/>
    <mergeCell ref="U53:Y53"/>
    <mergeCell ref="H54:I54"/>
    <mergeCell ref="N54:Y54"/>
    <mergeCell ref="H55:I56"/>
    <mergeCell ref="K55:K56"/>
    <mergeCell ref="L55:L56"/>
    <mergeCell ref="P55:W56"/>
    <mergeCell ref="Y55:Y56"/>
    <mergeCell ref="AB55:AB56"/>
    <mergeCell ref="AC55:AC56"/>
    <mergeCell ref="AE55:AE56"/>
    <mergeCell ref="F59:F61"/>
    <mergeCell ref="AG61:AG64"/>
    <mergeCell ref="F62:F64"/>
    <mergeCell ref="F73:F75"/>
    <mergeCell ref="F79:G79"/>
    <mergeCell ref="F83:F84"/>
    <mergeCell ref="AH63:AH64"/>
    <mergeCell ref="AG65:AG68"/>
    <mergeCell ref="F66:F68"/>
    <mergeCell ref="AH67:AH68"/>
    <mergeCell ref="F69:F72"/>
    <mergeCell ref="AG69:AG72"/>
    <mergeCell ref="AH71:AH7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1114-D67E-427A-BC1B-9DFC256E3389}">
  <dimension ref="F50:AN105"/>
  <sheetViews>
    <sheetView showGridLines="0" topLeftCell="B1" zoomScale="85" zoomScaleNormal="85" workbookViewId="0">
      <selection activeCell="AK52" sqref="AK52"/>
    </sheetView>
  </sheetViews>
  <sheetFormatPr defaultColWidth="8.75" defaultRowHeight="13.5"/>
  <cols>
    <col min="1" max="4" width="8.75" style="1"/>
    <col min="5" max="5" width="1.875" style="1" customWidth="1"/>
    <col min="6" max="6" width="8.375" style="1" customWidth="1"/>
    <col min="7" max="7" width="8.375" style="2" customWidth="1"/>
    <col min="8" max="22" width="6.625" style="2" customWidth="1"/>
    <col min="23" max="31" width="6.625" style="1" customWidth="1"/>
    <col min="32" max="33" width="8.75" style="1"/>
    <col min="34" max="34" width="11.625" style="1" bestFit="1" customWidth="1"/>
    <col min="35" max="35" width="14.5" style="1" customWidth="1"/>
    <col min="36" max="36" width="17.125" style="1" customWidth="1"/>
    <col min="37" max="37" width="8.75" style="1"/>
    <col min="38" max="47" width="9" style="1" customWidth="1"/>
    <col min="48" max="16384" width="8.75" style="1"/>
  </cols>
  <sheetData>
    <row r="50" spans="6:37" ht="7.9" customHeight="1" thickBot="1"/>
    <row r="51" spans="6:37" s="5" customFormat="1" ht="34.5" customHeight="1">
      <c r="F51" s="229" t="s">
        <v>0</v>
      </c>
      <c r="G51" s="230"/>
      <c r="H51" s="231" t="s">
        <v>1</v>
      </c>
      <c r="I51" s="232"/>
      <c r="J51" s="233" t="s">
        <v>92</v>
      </c>
      <c r="K51" s="234"/>
      <c r="L51" s="235" t="s">
        <v>2</v>
      </c>
      <c r="M51" s="236"/>
      <c r="N51" s="236"/>
      <c r="O51" s="237" t="s">
        <v>3</v>
      </c>
      <c r="P51" s="237"/>
      <c r="Q51" s="3" t="s">
        <v>4</v>
      </c>
      <c r="R51" s="220" t="s">
        <v>5</v>
      </c>
      <c r="S51" s="221"/>
      <c r="T51" s="221"/>
      <c r="U51" s="221"/>
      <c r="V51" s="222" t="s">
        <v>6</v>
      </c>
      <c r="W51" s="223"/>
      <c r="X51" s="224" t="s">
        <v>7</v>
      </c>
      <c r="Y51" s="224"/>
      <c r="Z51" s="225" t="s">
        <v>8</v>
      </c>
      <c r="AA51" s="226"/>
      <c r="AB51" s="227"/>
      <c r="AC51" s="228" t="s">
        <v>9</v>
      </c>
      <c r="AD51" s="228"/>
      <c r="AE51" s="4" t="s">
        <v>10</v>
      </c>
    </row>
    <row r="52" spans="6:37" s="5" customFormat="1" ht="36.75" thickBot="1">
      <c r="F52" s="207" t="s">
        <v>11</v>
      </c>
      <c r="G52" s="208"/>
      <c r="H52" s="6" t="s">
        <v>12</v>
      </c>
      <c r="I52" s="7" t="s">
        <v>13</v>
      </c>
      <c r="J52" s="8" t="s">
        <v>14</v>
      </c>
      <c r="K52" s="9" t="s">
        <v>15</v>
      </c>
      <c r="L52" s="10" t="s">
        <v>16</v>
      </c>
      <c r="M52" s="11" t="s">
        <v>17</v>
      </c>
      <c r="N52" s="11" t="s">
        <v>18</v>
      </c>
      <c r="O52" s="12" t="s">
        <v>19</v>
      </c>
      <c r="P52" s="12" t="s">
        <v>13</v>
      </c>
      <c r="Q52" s="13" t="s">
        <v>13</v>
      </c>
      <c r="R52" s="14" t="s">
        <v>20</v>
      </c>
      <c r="S52" s="14" t="s">
        <v>21</v>
      </c>
      <c r="T52" s="14" t="s">
        <v>22</v>
      </c>
      <c r="U52" s="14" t="s">
        <v>21</v>
      </c>
      <c r="V52" s="15" t="s">
        <v>23</v>
      </c>
      <c r="W52" s="15" t="s">
        <v>13</v>
      </c>
      <c r="X52" s="16" t="s">
        <v>24</v>
      </c>
      <c r="Y52" s="16" t="s">
        <v>13</v>
      </c>
      <c r="Z52" s="17" t="s">
        <v>25</v>
      </c>
      <c r="AA52" s="18" t="s">
        <v>14</v>
      </c>
      <c r="AB52" s="19" t="s">
        <v>26</v>
      </c>
      <c r="AC52" s="20" t="s">
        <v>27</v>
      </c>
      <c r="AD52" s="20" t="s">
        <v>17</v>
      </c>
      <c r="AE52" s="21" t="s">
        <v>13</v>
      </c>
    </row>
    <row r="53" spans="6:37" s="5" customFormat="1" ht="54.75" customHeight="1">
      <c r="F53" s="209" t="s">
        <v>28</v>
      </c>
      <c r="G53" s="210"/>
      <c r="H53" s="214" t="s">
        <v>29</v>
      </c>
      <c r="I53" s="215"/>
      <c r="J53" s="22" t="s">
        <v>30</v>
      </c>
      <c r="K53" s="23" t="s">
        <v>31</v>
      </c>
      <c r="L53" s="24" t="s">
        <v>30</v>
      </c>
      <c r="M53" s="25" t="s">
        <v>32</v>
      </c>
      <c r="N53" s="216" t="s">
        <v>33</v>
      </c>
      <c r="O53" s="217"/>
      <c r="P53" s="217"/>
      <c r="Q53" s="217"/>
      <c r="R53" s="218"/>
      <c r="S53" s="219" t="s">
        <v>34</v>
      </c>
      <c r="T53" s="219"/>
      <c r="U53" s="187" t="s">
        <v>33</v>
      </c>
      <c r="V53" s="187"/>
      <c r="W53" s="187"/>
      <c r="X53" s="187"/>
      <c r="Y53" s="187"/>
      <c r="Z53" s="25" t="s">
        <v>32</v>
      </c>
      <c r="AA53" s="27" t="s">
        <v>30</v>
      </c>
      <c r="AB53" s="28" t="s">
        <v>31</v>
      </c>
      <c r="AC53" s="29" t="s">
        <v>30</v>
      </c>
      <c r="AD53" s="25" t="s">
        <v>32</v>
      </c>
      <c r="AE53" s="30" t="s">
        <v>29</v>
      </c>
    </row>
    <row r="54" spans="6:37" s="5" customFormat="1">
      <c r="F54" s="211"/>
      <c r="G54" s="212"/>
      <c r="H54" s="188" t="s">
        <v>35</v>
      </c>
      <c r="I54" s="189"/>
      <c r="J54" s="31" t="s">
        <v>36</v>
      </c>
      <c r="K54" s="32"/>
      <c r="L54" s="33"/>
      <c r="M54" s="25" t="s">
        <v>37</v>
      </c>
      <c r="N54" s="190" t="s">
        <v>38</v>
      </c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2"/>
      <c r="Z54" s="25" t="s">
        <v>37</v>
      </c>
      <c r="AA54" s="34" t="s">
        <v>36</v>
      </c>
      <c r="AB54" s="35"/>
      <c r="AC54" s="36"/>
      <c r="AD54" s="25" t="s">
        <v>37</v>
      </c>
      <c r="AE54" s="37" t="s">
        <v>35</v>
      </c>
      <c r="AF54" s="38" t="s">
        <v>39</v>
      </c>
      <c r="AG54" s="39"/>
      <c r="AH54" s="39"/>
      <c r="AI54" s="39"/>
    </row>
    <row r="55" spans="6:37" s="5" customFormat="1" ht="54" customHeight="1">
      <c r="F55" s="211"/>
      <c r="G55" s="212"/>
      <c r="H55" s="193" t="s">
        <v>40</v>
      </c>
      <c r="I55" s="194"/>
      <c r="J55" s="40" t="s">
        <v>41</v>
      </c>
      <c r="K55" s="197" t="s">
        <v>40</v>
      </c>
      <c r="L55" s="199" t="s">
        <v>42</v>
      </c>
      <c r="M55" s="40" t="s">
        <v>41</v>
      </c>
      <c r="N55" s="42" t="s">
        <v>33</v>
      </c>
      <c r="O55" s="42" t="s">
        <v>33</v>
      </c>
      <c r="P55" s="201" t="s">
        <v>42</v>
      </c>
      <c r="Q55" s="202"/>
      <c r="R55" s="202"/>
      <c r="S55" s="202"/>
      <c r="T55" s="202"/>
      <c r="U55" s="202"/>
      <c r="V55" s="202"/>
      <c r="W55" s="203"/>
      <c r="X55" s="42" t="s">
        <v>33</v>
      </c>
      <c r="Y55" s="177" t="s">
        <v>42</v>
      </c>
      <c r="Z55" s="42" t="s">
        <v>33</v>
      </c>
      <c r="AA55" s="43" t="s">
        <v>41</v>
      </c>
      <c r="AB55" s="175" t="s">
        <v>43</v>
      </c>
      <c r="AC55" s="177" t="s">
        <v>40</v>
      </c>
      <c r="AD55" s="40" t="s">
        <v>41</v>
      </c>
      <c r="AE55" s="179" t="s">
        <v>42</v>
      </c>
    </row>
    <row r="56" spans="6:37" s="5" customFormat="1">
      <c r="F56" s="195"/>
      <c r="G56" s="213"/>
      <c r="H56" s="195"/>
      <c r="I56" s="196"/>
      <c r="J56" s="40" t="s">
        <v>37</v>
      </c>
      <c r="K56" s="198"/>
      <c r="L56" s="200"/>
      <c r="M56" s="45" t="s">
        <v>37</v>
      </c>
      <c r="N56" s="46" t="s">
        <v>38</v>
      </c>
      <c r="O56" s="47" t="s">
        <v>38</v>
      </c>
      <c r="P56" s="204"/>
      <c r="Q56" s="205"/>
      <c r="R56" s="205"/>
      <c r="S56" s="205"/>
      <c r="T56" s="205"/>
      <c r="U56" s="205"/>
      <c r="V56" s="205"/>
      <c r="W56" s="206"/>
      <c r="X56" s="42" t="s">
        <v>38</v>
      </c>
      <c r="Y56" s="178"/>
      <c r="Z56" s="26"/>
      <c r="AA56" s="48" t="s">
        <v>37</v>
      </c>
      <c r="AB56" s="176"/>
      <c r="AC56" s="178"/>
      <c r="AD56" s="49" t="s">
        <v>37</v>
      </c>
      <c r="AE56" s="180"/>
    </row>
    <row r="57" spans="6:37" ht="27">
      <c r="F57" s="50" t="s">
        <v>44</v>
      </c>
      <c r="G57" s="51" t="s">
        <v>45</v>
      </c>
      <c r="H57" s="52">
        <f>H80-H59</f>
        <v>69.979400086720375</v>
      </c>
      <c r="I57" s="53">
        <f>I80-I59</f>
        <v>9.5012252678340019</v>
      </c>
      <c r="J57" s="53">
        <f>0-J60</f>
        <v>5.9794000867203749</v>
      </c>
      <c r="K57" s="54">
        <f>0-K60</f>
        <v>5.9794000867203749</v>
      </c>
      <c r="L57" s="52">
        <f>0-L60</f>
        <v>5.9794000867203749</v>
      </c>
      <c r="M57" s="54">
        <f>M80-M59</f>
        <v>5.9794000867203749</v>
      </c>
      <c r="N57" s="55">
        <f>N81-N61</f>
        <v>14.989999999999995</v>
      </c>
      <c r="O57" s="56">
        <f>O82-N61</f>
        <v>9.9899999999999949</v>
      </c>
      <c r="P57" s="55">
        <f>P81-P61</f>
        <v>14.989999999999995</v>
      </c>
      <c r="Q57" s="55">
        <f>Q81-Q61</f>
        <v>7.9899999999999949</v>
      </c>
      <c r="R57" s="55"/>
      <c r="S57" s="53"/>
      <c r="T57" s="53"/>
      <c r="U57" s="53"/>
      <c r="V57" s="53"/>
      <c r="W57" s="53">
        <f>W81-W61</f>
        <v>81.69</v>
      </c>
      <c r="X57" s="53">
        <f>X81-W61</f>
        <v>71.69</v>
      </c>
      <c r="Y57" s="53">
        <f>Y81-Y61</f>
        <v>51.69</v>
      </c>
      <c r="Z57" s="57">
        <f>Z80-Z59</f>
        <v>42.679400086720378</v>
      </c>
      <c r="AA57" s="58">
        <f>0-AA60</f>
        <v>42.679400086720378</v>
      </c>
      <c r="AB57" s="59">
        <f>-AB60</f>
        <v>5.9794000867203749</v>
      </c>
      <c r="AC57" s="57">
        <f>-AC60</f>
        <v>5.9794000867203749</v>
      </c>
      <c r="AD57" s="57">
        <f>AD80-AD59</f>
        <v>5.9794000867203749</v>
      </c>
      <c r="AE57" s="58">
        <f>AE81-AE61</f>
        <v>5.7594000867203761</v>
      </c>
    </row>
    <row r="58" spans="6:37" ht="13.5" customHeight="1" thickBot="1">
      <c r="F58" s="41" t="s">
        <v>46</v>
      </c>
      <c r="G58" s="60" t="s">
        <v>47</v>
      </c>
      <c r="H58" s="61"/>
      <c r="I58" s="62">
        <v>44</v>
      </c>
      <c r="J58" s="62" t="s">
        <v>48</v>
      </c>
      <c r="K58" s="63">
        <v>0</v>
      </c>
      <c r="L58" s="61">
        <v>0</v>
      </c>
      <c r="M58" s="63">
        <v>0</v>
      </c>
      <c r="N58" s="64">
        <v>-6</v>
      </c>
      <c r="O58" s="65">
        <v>-20</v>
      </c>
      <c r="P58" s="62">
        <v>30</v>
      </c>
      <c r="Q58" s="62">
        <v>30</v>
      </c>
      <c r="R58" s="62">
        <v>-6</v>
      </c>
      <c r="S58" s="62">
        <v>2.15</v>
      </c>
      <c r="T58" s="66">
        <f>-143</f>
        <v>-143</v>
      </c>
      <c r="U58" s="62">
        <v>2.15</v>
      </c>
      <c r="V58" s="62">
        <v>-2</v>
      </c>
      <c r="W58" s="62">
        <v>40</v>
      </c>
      <c r="X58" s="62">
        <v>-20</v>
      </c>
      <c r="Y58" s="62">
        <v>50</v>
      </c>
      <c r="Z58" s="62">
        <v>6</v>
      </c>
      <c r="AA58" s="67">
        <v>0</v>
      </c>
      <c r="AB58" s="65">
        <v>0</v>
      </c>
      <c r="AC58" s="62">
        <v>0</v>
      </c>
      <c r="AD58" s="62">
        <v>0</v>
      </c>
      <c r="AE58" s="67">
        <v>25</v>
      </c>
    </row>
    <row r="59" spans="6:37">
      <c r="F59" s="181" t="s">
        <v>49</v>
      </c>
      <c r="G59" s="68" t="s">
        <v>50</v>
      </c>
      <c r="H59" s="69">
        <f>AI64</f>
        <v>70.020599913279625</v>
      </c>
      <c r="I59" s="70">
        <f>H59+I58</f>
        <v>114.02059991327963</v>
      </c>
      <c r="J59" s="71">
        <f>I59</f>
        <v>114.02059991327963</v>
      </c>
      <c r="K59" s="72"/>
      <c r="L59" s="73"/>
      <c r="M59" s="74">
        <f>M80+L60</f>
        <v>108</v>
      </c>
      <c r="N59" s="75">
        <f>M59+N58</f>
        <v>102</v>
      </c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8">
        <f>Y61+106.99</f>
        <v>65.3</v>
      </c>
      <c r="Z59" s="79">
        <f>Y59+Z58</f>
        <v>71.3</v>
      </c>
      <c r="AA59" s="80">
        <f>Z59</f>
        <v>71.3</v>
      </c>
      <c r="AB59" s="76"/>
      <c r="AC59" s="77"/>
      <c r="AD59" s="79">
        <f>AD80+AD60</f>
        <v>114.02059991327963</v>
      </c>
      <c r="AE59" s="81">
        <f>AD59+AE58</f>
        <v>139.02059991327963</v>
      </c>
    </row>
    <row r="60" spans="6:37">
      <c r="F60" s="182"/>
      <c r="G60" s="82" t="s">
        <v>51</v>
      </c>
      <c r="H60" s="83"/>
      <c r="I60" s="84"/>
      <c r="J60" s="85">
        <f>I59-J$80</f>
        <v>-5.9794000867203749</v>
      </c>
      <c r="K60" s="86">
        <f>J60+K58</f>
        <v>-5.9794000867203749</v>
      </c>
      <c r="L60" s="87">
        <f>K60+L58</f>
        <v>-5.9794000867203749</v>
      </c>
      <c r="M60" s="88">
        <f>L60</f>
        <v>-5.9794000867203749</v>
      </c>
      <c r="N60" s="89"/>
      <c r="O60" s="90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91">
        <f>Z59-AA80</f>
        <v>-42.679400086720378</v>
      </c>
      <c r="AB60" s="92">
        <f>K60</f>
        <v>-5.9794000867203749</v>
      </c>
      <c r="AC60" s="85">
        <f>K60</f>
        <v>-5.9794000867203749</v>
      </c>
      <c r="AD60" s="88">
        <f>AC60+AD58</f>
        <v>-5.9794000867203749</v>
      </c>
      <c r="AE60" s="93"/>
    </row>
    <row r="61" spans="6:37" ht="14.25" thickBot="1">
      <c r="F61" s="183"/>
      <c r="G61" s="94" t="s">
        <v>52</v>
      </c>
      <c r="H61" s="95">
        <f>H59-117.78</f>
        <v>-47.759400086720376</v>
      </c>
      <c r="I61" s="96">
        <f>H61+I58</f>
        <v>-3.7594000867203761</v>
      </c>
      <c r="J61" s="97">
        <f>I61</f>
        <v>-3.7594000867203761</v>
      </c>
      <c r="K61" s="98"/>
      <c r="L61" s="95"/>
      <c r="M61" s="98"/>
      <c r="N61" s="99">
        <f>N59-106.99</f>
        <v>-4.9899999999999949</v>
      </c>
      <c r="O61" s="100">
        <f t="shared" ref="O61:Y61" si="0">N61+O58</f>
        <v>-24.989999999999995</v>
      </c>
      <c r="P61" s="101">
        <f t="shared" si="0"/>
        <v>5.0100000000000051</v>
      </c>
      <c r="Q61" s="101">
        <f t="shared" si="0"/>
        <v>35.010000000000005</v>
      </c>
      <c r="R61" s="101">
        <f t="shared" si="0"/>
        <v>29.010000000000005</v>
      </c>
      <c r="S61" s="101">
        <f t="shared" si="0"/>
        <v>31.160000000000004</v>
      </c>
      <c r="T61" s="102">
        <f t="shared" si="0"/>
        <v>-111.84</v>
      </c>
      <c r="U61" s="101">
        <f t="shared" si="0"/>
        <v>-109.69</v>
      </c>
      <c r="V61" s="101">
        <f t="shared" si="0"/>
        <v>-111.69</v>
      </c>
      <c r="W61" s="101">
        <f t="shared" si="0"/>
        <v>-71.69</v>
      </c>
      <c r="X61" s="101">
        <f t="shared" si="0"/>
        <v>-91.69</v>
      </c>
      <c r="Y61" s="101">
        <f t="shared" si="0"/>
        <v>-41.69</v>
      </c>
      <c r="Z61" s="96"/>
      <c r="AA61" s="103"/>
      <c r="AB61" s="104"/>
      <c r="AC61" s="96"/>
      <c r="AD61" s="97">
        <f>AD59-117.78</f>
        <v>-3.7594000867203761</v>
      </c>
      <c r="AE61" s="105">
        <f>AE59-117.78</f>
        <v>21.240599913279624</v>
      </c>
      <c r="AG61" s="174" t="s">
        <v>53</v>
      </c>
      <c r="AH61" s="106" t="s">
        <v>54</v>
      </c>
      <c r="AI61" s="107">
        <v>74</v>
      </c>
      <c r="AJ61" s="108">
        <f>10^(AI61/20)*0.0002</f>
        <v>1.0023744672545465</v>
      </c>
      <c r="AK61" s="109">
        <f>AJ61</f>
        <v>1.0023744672545465</v>
      </c>
    </row>
    <row r="62" spans="6:37">
      <c r="F62" s="184" t="s">
        <v>55</v>
      </c>
      <c r="G62" s="68" t="s">
        <v>50</v>
      </c>
      <c r="H62" s="69">
        <f>H66</f>
        <v>20.020599913279618</v>
      </c>
      <c r="I62" s="70">
        <f>I64+117.78</f>
        <v>64.022289323811165</v>
      </c>
      <c r="J62" s="71">
        <f>J63+J80</f>
        <v>64.052413737978512</v>
      </c>
      <c r="K62" s="72"/>
      <c r="L62" s="73"/>
      <c r="M62" s="74">
        <f>20*LOG(SQRT((10^((M80+L63)/20))^2+(10^(M66/20))^2+(10^(M69/20))^2))</f>
        <v>65.814610304874662</v>
      </c>
      <c r="N62" s="75">
        <f>N64+106.99</f>
        <v>60.479373356440696</v>
      </c>
      <c r="O62" s="76"/>
      <c r="P62" s="77"/>
      <c r="Q62" s="77"/>
      <c r="R62" s="77"/>
      <c r="S62" s="77"/>
      <c r="T62" s="77"/>
      <c r="U62" s="77"/>
      <c r="V62" s="77"/>
      <c r="W62" s="77"/>
      <c r="X62" s="77"/>
      <c r="Y62" s="78">
        <f>Y64+106.99</f>
        <v>47.349135944479649</v>
      </c>
      <c r="Z62" s="79">
        <f>20*LOG(SQRT((10^((Z58+Y64+106.99)/20))^2+(10^(Z66/20))^2+(10^(Z69/20)^2)))</f>
        <v>53.349195920508961</v>
      </c>
      <c r="AA62" s="80">
        <f>Z62</f>
        <v>53.349195920508961</v>
      </c>
      <c r="AB62" s="76"/>
      <c r="AC62" s="77"/>
      <c r="AD62" s="79">
        <f>20*LOG(SQRT((10^((AD80+AC63+AD58)/20))^2+(10^(AD66/20))^2+(10^(AD69/20))^2))</f>
        <v>64.052498984157239</v>
      </c>
      <c r="AE62" s="81">
        <f>AE64+117.78</f>
        <v>109.0641306388694</v>
      </c>
      <c r="AG62" s="174"/>
      <c r="AH62" s="106" t="s">
        <v>56</v>
      </c>
      <c r="AI62" s="107">
        <v>-50</v>
      </c>
      <c r="AJ62" s="110"/>
      <c r="AK62" s="110"/>
    </row>
    <row r="63" spans="6:37">
      <c r="F63" s="185"/>
      <c r="G63" s="82" t="s">
        <v>51</v>
      </c>
      <c r="H63" s="83"/>
      <c r="I63" s="84"/>
      <c r="J63" s="85">
        <f>20*LOG(10^((I62-J$80)/20)+10^(J67/20)+10^(J70/20))</f>
        <v>-55.947586262021488</v>
      </c>
      <c r="K63" s="86">
        <f>J63+K58</f>
        <v>-55.947586262021488</v>
      </c>
      <c r="L63" s="87">
        <f>L77</f>
        <v>-48.164799306236993</v>
      </c>
      <c r="M63" s="88">
        <f>M62-M80</f>
        <v>-48.164789781845712</v>
      </c>
      <c r="N63" s="89"/>
      <c r="O63" s="90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91">
        <f>20*LOG(SQRT((10^(((Z62+AA58)-AA80)/20)^2+(10^(AA67/20))^2+(10^(AA70/20))^2)+(10^(AA77/20))^2))</f>
        <v>-60.34070369083171</v>
      </c>
      <c r="AB63" s="92">
        <f>K63</f>
        <v>-55.947586262021488</v>
      </c>
      <c r="AC63" s="85">
        <f>K63</f>
        <v>-55.947586262021488</v>
      </c>
      <c r="AD63" s="88">
        <f>AD62-AD80</f>
        <v>-55.947501015842761</v>
      </c>
      <c r="AE63" s="93"/>
      <c r="AG63" s="174"/>
      <c r="AH63" s="172" t="s">
        <v>57</v>
      </c>
      <c r="AI63" s="111">
        <f>AK61*10^(AI62/20)</f>
        <v>3.1697863849222299E-3</v>
      </c>
      <c r="AJ63" s="110"/>
      <c r="AK63" s="110"/>
    </row>
    <row r="64" spans="6:37" ht="14.25" thickBot="1">
      <c r="F64" s="186"/>
      <c r="G64" s="94" t="s">
        <v>52</v>
      </c>
      <c r="H64" s="95">
        <f>H68</f>
        <v>-97.759400086720376</v>
      </c>
      <c r="I64" s="96">
        <f>10*LOG(10^(I68/10)+10^((H64+I58)/10))</f>
        <v>-53.757710676188836</v>
      </c>
      <c r="J64" s="97">
        <f>J62-117.78</f>
        <v>-53.727586262021489</v>
      </c>
      <c r="K64" s="98"/>
      <c r="L64" s="95"/>
      <c r="M64" s="98"/>
      <c r="N64" s="99">
        <f>10*LOG(10^((M62+N58-106.99)/10)+10^(N68/10)+10^(N71/10))</f>
        <v>-46.510626643559299</v>
      </c>
      <c r="O64" s="100">
        <f>10*LOG(10^((N64+O58)/10)+10^(O68/10)+10^(O71/10)+10^(O74/10))</f>
        <v>-65.917140822142755</v>
      </c>
      <c r="P64" s="101">
        <f>10*LOG(10^((O64+P58)/10)+10^(P68/10)+10^(P74/10))</f>
        <v>-35.916382645857688</v>
      </c>
      <c r="Q64" s="101">
        <f>10*LOG(10^((P64+Q58)/10)+10^(Q68/10)+10^(Q74/10))</f>
        <v>10.11956112826806</v>
      </c>
      <c r="R64" s="101">
        <f>Q64+R58</f>
        <v>4.1195611282680602</v>
      </c>
      <c r="S64" s="101">
        <f>R64+S58</f>
        <v>6.2695611282680606</v>
      </c>
      <c r="T64" s="102">
        <f>S64+T58</f>
        <v>-136.73043887173193</v>
      </c>
      <c r="U64" s="101">
        <f>T64+U58</f>
        <v>-134.58043887173193</v>
      </c>
      <c r="V64" s="101">
        <f>U64+V58</f>
        <v>-136.58043887173193</v>
      </c>
      <c r="W64" s="101">
        <f>10*LOG(10^((V64+W58)/10)+10^(W68/10))</f>
        <v>-89.828432999354817</v>
      </c>
      <c r="X64" s="101">
        <f>10*LOG(10^((W64+X58)/10)+10^(X68/10)+10^(X71/10))</f>
        <v>-109.80848180284309</v>
      </c>
      <c r="Y64" s="101">
        <f>10*LOG(10^((X64+Y58)/10)+10^(Y68/10))</f>
        <v>-59.640864055520346</v>
      </c>
      <c r="Z64" s="96"/>
      <c r="AA64" s="103"/>
      <c r="AB64" s="104"/>
      <c r="AC64" s="96"/>
      <c r="AD64" s="97">
        <f>AD62-117.78</f>
        <v>-53.727501015842762</v>
      </c>
      <c r="AE64" s="105">
        <f>10*LOG(10^((AD64+AE58)/10)+10^(AE68/10)+10^(AE74/10))</f>
        <v>-8.7158693611306042</v>
      </c>
      <c r="AG64" s="174"/>
      <c r="AH64" s="173"/>
      <c r="AI64" s="112">
        <f>20*LOG(AI63/0.000001)</f>
        <v>70.020599913279625</v>
      </c>
      <c r="AJ64" s="110"/>
      <c r="AK64" s="110"/>
    </row>
    <row r="65" spans="6:40" s="39" customFormat="1" ht="14.25" thickBot="1">
      <c r="F65" s="113" t="s">
        <v>58</v>
      </c>
      <c r="G65" s="114" t="s">
        <v>45</v>
      </c>
      <c r="H65" s="115">
        <f>H61-H64</f>
        <v>50</v>
      </c>
      <c r="I65" s="116">
        <f>I61-I64</f>
        <v>49.99831058946846</v>
      </c>
      <c r="J65" s="117">
        <f>J61-J64</f>
        <v>49.968186175301113</v>
      </c>
      <c r="K65" s="118">
        <f>K60-K63</f>
        <v>49.968186175301113</v>
      </c>
      <c r="L65" s="115">
        <f>L60-L63</f>
        <v>42.185399219516619</v>
      </c>
      <c r="M65" s="119"/>
      <c r="N65" s="117">
        <f t="shared" ref="N65:S65" si="1">N61-N64</f>
        <v>41.520626643559304</v>
      </c>
      <c r="O65" s="120">
        <f t="shared" si="1"/>
        <v>40.927140822142761</v>
      </c>
      <c r="P65" s="117">
        <f t="shared" si="1"/>
        <v>40.926382645857693</v>
      </c>
      <c r="Q65" s="117">
        <f t="shared" si="1"/>
        <v>24.890438871731945</v>
      </c>
      <c r="R65" s="117">
        <f t="shared" si="1"/>
        <v>24.890438871731945</v>
      </c>
      <c r="S65" s="117">
        <f t="shared" si="1"/>
        <v>24.890438871731945</v>
      </c>
      <c r="T65" s="121">
        <f>T61-T84</f>
        <v>22.019046495225069</v>
      </c>
      <c r="U65" s="122">
        <f>U61-U84</f>
        <v>24.169046495225075</v>
      </c>
      <c r="V65" s="122">
        <f>V61-V84</f>
        <v>22.169046495225075</v>
      </c>
      <c r="W65" s="117">
        <f>W61-W64</f>
        <v>18.138432999354819</v>
      </c>
      <c r="X65" s="117">
        <f>X61-X64</f>
        <v>18.118481802843093</v>
      </c>
      <c r="Y65" s="117">
        <f>Y61-Y64</f>
        <v>17.950864055520348</v>
      </c>
      <c r="Z65" s="122">
        <f>Z59-Z62</f>
        <v>17.950804079491036</v>
      </c>
      <c r="AA65" s="123">
        <f>AA59-AA62</f>
        <v>17.950804079491036</v>
      </c>
      <c r="AB65" s="120"/>
      <c r="AC65" s="122">
        <f>AC60-AC63</f>
        <v>49.968186175301113</v>
      </c>
      <c r="AD65" s="122">
        <f>AD59-AD62</f>
        <v>49.968100929122386</v>
      </c>
      <c r="AE65" s="124">
        <f>AE61-AE64</f>
        <v>29.956469274410228</v>
      </c>
      <c r="AG65" s="174" t="s">
        <v>59</v>
      </c>
      <c r="AH65" s="106" t="s">
        <v>54</v>
      </c>
      <c r="AI65" s="107">
        <v>24</v>
      </c>
      <c r="AJ65" s="108">
        <f>10^(AI65/20)*0.0002</f>
        <v>3.1697863849222273E-3</v>
      </c>
      <c r="AK65" s="109">
        <f>AJ65</f>
        <v>3.1697863849222273E-3</v>
      </c>
    </row>
    <row r="66" spans="6:40">
      <c r="F66" s="166" t="s">
        <v>60</v>
      </c>
      <c r="G66" s="125" t="s">
        <v>61</v>
      </c>
      <c r="H66" s="126">
        <f>AI68</f>
        <v>20.020599913279618</v>
      </c>
      <c r="I66" s="57">
        <f>I68+117.78</f>
        <v>29.920953504774928</v>
      </c>
      <c r="J66" s="57">
        <f>J68+117.78</f>
        <v>-6.0790464952250716</v>
      </c>
      <c r="K66" s="127"/>
      <c r="L66" s="126"/>
      <c r="M66" s="57">
        <f>M68+106.99</f>
        <v>3.1309535047749222</v>
      </c>
      <c r="N66" s="128">
        <f>N68+106.99</f>
        <v>3.1309535047749222</v>
      </c>
      <c r="O66" s="59">
        <f>O68+106.99</f>
        <v>-6.8690464952250778</v>
      </c>
      <c r="P66" s="57">
        <f>P68+106.99</f>
        <v>28.130953504774922</v>
      </c>
      <c r="Q66" s="57">
        <f>Q68+106.99</f>
        <v>28.130953504774922</v>
      </c>
      <c r="R66" s="57"/>
      <c r="S66" s="57"/>
      <c r="T66" s="57"/>
      <c r="U66" s="57"/>
      <c r="V66" s="57"/>
      <c r="W66" s="57">
        <f>W68+106.99</f>
        <v>16.130953504774922</v>
      </c>
      <c r="X66" s="57">
        <f>X68+106.99</f>
        <v>-26.869046495225078</v>
      </c>
      <c r="Y66" s="57">
        <f>Y68+106.99</f>
        <v>33.130953504774922</v>
      </c>
      <c r="Z66" s="57">
        <f>Z68+120</f>
        <v>2.1409535047749273</v>
      </c>
      <c r="AA66" s="58">
        <f>AA68+120</f>
        <v>6.1409535047749273</v>
      </c>
      <c r="AB66" s="59"/>
      <c r="AC66" s="57"/>
      <c r="AD66" s="57">
        <f>AD68+117.78</f>
        <v>13.920953504774928</v>
      </c>
      <c r="AE66" s="58">
        <f>AE68+117.78</f>
        <v>18.920953504774928</v>
      </c>
      <c r="AG66" s="174"/>
      <c r="AH66" s="106" t="s">
        <v>56</v>
      </c>
      <c r="AI66" s="107">
        <v>-50</v>
      </c>
      <c r="AJ66" s="110"/>
      <c r="AK66" s="110"/>
    </row>
    <row r="67" spans="6:40">
      <c r="F67" s="166"/>
      <c r="G67" s="51" t="s">
        <v>51</v>
      </c>
      <c r="H67" s="52"/>
      <c r="I67" s="53"/>
      <c r="J67" s="53">
        <f>J66-J$80</f>
        <v>-126.07904649522507</v>
      </c>
      <c r="K67" s="54"/>
      <c r="L67" s="52"/>
      <c r="M67" s="53"/>
      <c r="N67" s="55"/>
      <c r="O67" s="56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9">
        <f>AA66-AA80</f>
        <v>-107.83844658194545</v>
      </c>
      <c r="AB67" s="56"/>
      <c r="AC67" s="53"/>
      <c r="AD67" s="53">
        <f>AD66-AD$80</f>
        <v>-106.07904649522507</v>
      </c>
      <c r="AE67" s="129"/>
      <c r="AG67" s="174"/>
      <c r="AH67" s="172" t="s">
        <v>57</v>
      </c>
      <c r="AI67" s="111">
        <f>AK65*10^(AI66/20)</f>
        <v>1.0023744672545438E-5</v>
      </c>
      <c r="AJ67" s="110"/>
      <c r="AK67" s="110"/>
    </row>
    <row r="68" spans="6:40">
      <c r="F68" s="167"/>
      <c r="G68" s="51" t="s">
        <v>52</v>
      </c>
      <c r="H68" s="52">
        <f>H66-117.78</f>
        <v>-97.759400086720376</v>
      </c>
      <c r="I68" s="53">
        <f>10*LOG($AH$81*1000*I78*1000)+I79+I58</f>
        <v>-87.859046495225073</v>
      </c>
      <c r="J68" s="53">
        <f>10*LOG($AH$81*1000*J78*1000)+J79+0</f>
        <v>-123.85904649522507</v>
      </c>
      <c r="K68" s="54"/>
      <c r="L68" s="52"/>
      <c r="M68" s="53">
        <f>10*LOG($AH$81*1000*M78*1000)+M79+0</f>
        <v>-103.85904649522507</v>
      </c>
      <c r="N68" s="55">
        <f>10*LOG($AH$81*1000*N78*1000)+N79+0</f>
        <v>-103.85904649522507</v>
      </c>
      <c r="O68" s="56">
        <f>10*LOG($AH$81*1000*O78*1000)+O79+0</f>
        <v>-113.85904649522507</v>
      </c>
      <c r="P68" s="53">
        <f>10*LOG($AH$81*1000*P78*1000)+P79+P58</f>
        <v>-78.859046495225073</v>
      </c>
      <c r="Q68" s="53">
        <f>10*LOG($AH$81*1000*Q78*1000)+Q79+Q58</f>
        <v>-78.859046495225073</v>
      </c>
      <c r="R68" s="53"/>
      <c r="S68" s="53"/>
      <c r="T68" s="53"/>
      <c r="U68" s="53"/>
      <c r="V68" s="53"/>
      <c r="W68" s="53">
        <f>10*LOG($AH$81*1000*W78*1000)+W79+W58</f>
        <v>-90.859046495225073</v>
      </c>
      <c r="X68" s="53">
        <f>10*LOG($AH$81*1000*X78*1000)+X79+X58</f>
        <v>-133.85904649522507</v>
      </c>
      <c r="Y68" s="53">
        <f>10*LOG($AH$81*1000*Y78*1000)+Y79+Y58</f>
        <v>-73.859046495225073</v>
      </c>
      <c r="Z68" s="53">
        <f>10*LOG($AH$81*1000*Z78*1000)+Z79+Z58</f>
        <v>-117.85904649522507</v>
      </c>
      <c r="AA68" s="129">
        <f>10*LOG($AH$81*1000*AA78*1000)+AA79+0</f>
        <v>-113.85904649522507</v>
      </c>
      <c r="AB68" s="56"/>
      <c r="AC68" s="53"/>
      <c r="AD68" s="53">
        <f>M68</f>
        <v>-103.85904649522507</v>
      </c>
      <c r="AE68" s="129">
        <f>10*LOG($AH$81*1000*AE78*1000)+AE79+AE58</f>
        <v>-98.859046495225073</v>
      </c>
      <c r="AG68" s="174"/>
      <c r="AH68" s="173"/>
      <c r="AI68" s="112">
        <f>20*LOG(AI67/0.000001)</f>
        <v>20.020599913279618</v>
      </c>
      <c r="AJ68" s="110"/>
      <c r="AK68" s="110"/>
    </row>
    <row r="69" spans="6:40">
      <c r="F69" s="165" t="s">
        <v>62</v>
      </c>
      <c r="G69" s="51" t="s">
        <v>61</v>
      </c>
      <c r="H69" s="52"/>
      <c r="I69" s="53"/>
      <c r="J69" s="53"/>
      <c r="K69" s="54"/>
      <c r="L69" s="52"/>
      <c r="M69" s="54">
        <f>M59-M72</f>
        <v>8</v>
      </c>
      <c r="N69" s="55"/>
      <c r="O69" s="56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>
        <f>Z59-Z72</f>
        <v>1.2999999999999972</v>
      </c>
      <c r="AA69" s="129"/>
      <c r="AB69" s="56"/>
      <c r="AC69" s="53"/>
      <c r="AD69" s="53">
        <f>AD59-AD72</f>
        <v>14.020599913279625</v>
      </c>
      <c r="AE69" s="129"/>
      <c r="AG69" s="174" t="s">
        <v>63</v>
      </c>
      <c r="AH69" s="106" t="s">
        <v>54</v>
      </c>
      <c r="AI69" s="107">
        <v>144</v>
      </c>
      <c r="AJ69" s="108">
        <f>10^(AI69/20)*0.0002</f>
        <v>3169.7863849222344</v>
      </c>
      <c r="AK69" s="109">
        <f>AJ69</f>
        <v>3169.7863849222344</v>
      </c>
    </row>
    <row r="70" spans="6:40">
      <c r="F70" s="166"/>
      <c r="G70" s="51" t="s">
        <v>51</v>
      </c>
      <c r="H70" s="52"/>
      <c r="I70" s="53"/>
      <c r="J70" s="53">
        <f>J60-J72</f>
        <v>-105.97940008672037</v>
      </c>
      <c r="K70" s="54"/>
      <c r="L70" s="52"/>
      <c r="M70" s="54"/>
      <c r="N70" s="55"/>
      <c r="O70" s="56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9">
        <f>AA60-AA72</f>
        <v>-142.67940008672036</v>
      </c>
      <c r="AB70" s="56"/>
      <c r="AC70" s="53"/>
      <c r="AD70" s="53">
        <f>AD60-AD72</f>
        <v>-105.97940008672037</v>
      </c>
      <c r="AE70" s="129"/>
      <c r="AG70" s="174"/>
      <c r="AH70" s="106" t="s">
        <v>56</v>
      </c>
      <c r="AI70" s="107">
        <v>-50</v>
      </c>
      <c r="AJ70" s="110"/>
      <c r="AK70" s="110"/>
    </row>
    <row r="71" spans="6:40">
      <c r="F71" s="166"/>
      <c r="G71" s="51" t="s">
        <v>52</v>
      </c>
      <c r="H71" s="52"/>
      <c r="I71" s="53"/>
      <c r="J71" s="53"/>
      <c r="K71" s="54"/>
      <c r="L71" s="52"/>
      <c r="M71" s="54"/>
      <c r="N71" s="55">
        <f>N61-N72</f>
        <v>-54.989999999999995</v>
      </c>
      <c r="O71" s="56">
        <f>O61-O72</f>
        <v>-74.989999999999995</v>
      </c>
      <c r="P71" s="53"/>
      <c r="Q71" s="53"/>
      <c r="R71" s="53"/>
      <c r="S71" s="53"/>
      <c r="T71" s="53"/>
      <c r="U71" s="53"/>
      <c r="V71" s="53"/>
      <c r="W71" s="53"/>
      <c r="X71" s="53">
        <f>X61-X72</f>
        <v>-141.69</v>
      </c>
      <c r="Y71" s="53"/>
      <c r="Z71" s="53"/>
      <c r="AA71" s="129"/>
      <c r="AB71" s="56"/>
      <c r="AC71" s="53"/>
      <c r="AD71" s="53"/>
      <c r="AE71" s="129"/>
      <c r="AG71" s="174"/>
      <c r="AH71" s="172" t="s">
        <v>57</v>
      </c>
      <c r="AI71" s="111">
        <f>AK69*10^(AI70/20)</f>
        <v>10.02374467254546</v>
      </c>
      <c r="AJ71" s="110"/>
      <c r="AK71" s="110"/>
    </row>
    <row r="72" spans="6:40">
      <c r="F72" s="167"/>
      <c r="G72" s="51" t="s">
        <v>64</v>
      </c>
      <c r="H72" s="52"/>
      <c r="I72" s="53"/>
      <c r="J72" s="53">
        <v>100</v>
      </c>
      <c r="K72" s="54"/>
      <c r="L72" s="52"/>
      <c r="M72" s="54">
        <v>100</v>
      </c>
      <c r="N72" s="55">
        <v>50</v>
      </c>
      <c r="O72" s="56">
        <v>50</v>
      </c>
      <c r="P72" s="53"/>
      <c r="Q72" s="53"/>
      <c r="R72" s="53"/>
      <c r="S72" s="53"/>
      <c r="T72" s="53"/>
      <c r="U72" s="53"/>
      <c r="V72" s="53"/>
      <c r="W72" s="53"/>
      <c r="X72" s="53">
        <v>50</v>
      </c>
      <c r="Y72" s="53"/>
      <c r="Z72" s="53">
        <v>70</v>
      </c>
      <c r="AA72" s="129">
        <v>100</v>
      </c>
      <c r="AB72" s="56"/>
      <c r="AC72" s="53"/>
      <c r="AD72" s="53">
        <v>100</v>
      </c>
      <c r="AE72" s="129"/>
      <c r="AG72" s="174"/>
      <c r="AH72" s="173"/>
      <c r="AI72" s="112">
        <f>20*LOG(AI71/0.000001)</f>
        <v>140.02059991327963</v>
      </c>
      <c r="AJ72" s="110"/>
      <c r="AK72" s="110"/>
    </row>
    <row r="73" spans="6:40">
      <c r="F73" s="165" t="s">
        <v>65</v>
      </c>
      <c r="G73" s="51" t="s">
        <v>61</v>
      </c>
      <c r="H73" s="52"/>
      <c r="I73" s="53"/>
      <c r="J73" s="53"/>
      <c r="K73" s="54"/>
      <c r="L73" s="52"/>
      <c r="M73" s="54"/>
      <c r="N73" s="55"/>
      <c r="O73" s="56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9"/>
      <c r="AB73" s="56"/>
      <c r="AC73" s="53"/>
      <c r="AD73" s="53"/>
      <c r="AE73" s="129">
        <f>AE74+117.78</f>
        <v>109.02059991327963</v>
      </c>
    </row>
    <row r="74" spans="6:40">
      <c r="F74" s="166"/>
      <c r="G74" s="51" t="s">
        <v>52</v>
      </c>
      <c r="H74" s="52"/>
      <c r="I74" s="53"/>
      <c r="J74" s="53"/>
      <c r="K74" s="54"/>
      <c r="L74" s="52"/>
      <c r="M74" s="54"/>
      <c r="N74" s="55"/>
      <c r="O74" s="56">
        <f>O61+O75</f>
        <v>-89.99</v>
      </c>
      <c r="P74" s="53">
        <f>P61+P75</f>
        <v>-74.989999999999995</v>
      </c>
      <c r="Q74" s="53">
        <f>Q61+Q75</f>
        <v>10.010000000000005</v>
      </c>
      <c r="R74" s="53"/>
      <c r="S74" s="53"/>
      <c r="T74" s="53"/>
      <c r="U74" s="53"/>
      <c r="V74" s="53"/>
      <c r="W74" s="53"/>
      <c r="X74" s="53"/>
      <c r="Y74" s="53"/>
      <c r="Z74" s="53"/>
      <c r="AA74" s="129"/>
      <c r="AB74" s="56"/>
      <c r="AC74" s="53"/>
      <c r="AD74" s="53"/>
      <c r="AE74" s="129">
        <f>AE61+AE75</f>
        <v>-8.7594000867203761</v>
      </c>
    </row>
    <row r="75" spans="6:40">
      <c r="F75" s="167"/>
      <c r="G75" s="51" t="s">
        <v>64</v>
      </c>
      <c r="H75" s="52"/>
      <c r="I75" s="53"/>
      <c r="J75" s="53"/>
      <c r="K75" s="54"/>
      <c r="L75" s="52"/>
      <c r="M75" s="54"/>
      <c r="N75" s="55"/>
      <c r="O75" s="56">
        <v>-65</v>
      </c>
      <c r="P75" s="53">
        <v>-80</v>
      </c>
      <c r="Q75" s="53">
        <v>-25</v>
      </c>
      <c r="R75" s="53"/>
      <c r="S75" s="53"/>
      <c r="T75" s="53"/>
      <c r="U75" s="53"/>
      <c r="V75" s="53"/>
      <c r="W75" s="53"/>
      <c r="X75" s="53"/>
      <c r="Y75" s="53"/>
      <c r="Z75" s="53"/>
      <c r="AA75" s="129"/>
      <c r="AB75" s="56"/>
      <c r="AC75" s="53"/>
      <c r="AD75" s="53"/>
      <c r="AE75" s="129">
        <v>-30</v>
      </c>
    </row>
    <row r="76" spans="6:40">
      <c r="F76" s="130" t="s">
        <v>66</v>
      </c>
      <c r="G76" s="51"/>
      <c r="H76" s="52"/>
      <c r="I76" s="53"/>
      <c r="J76" s="53">
        <v>12</v>
      </c>
      <c r="K76" s="54"/>
      <c r="L76" s="132">
        <v>8</v>
      </c>
      <c r="M76" s="54"/>
      <c r="N76" s="55"/>
      <c r="O76" s="56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9">
        <v>12</v>
      </c>
      <c r="AB76" s="56">
        <v>12</v>
      </c>
      <c r="AC76" s="53">
        <v>12</v>
      </c>
      <c r="AD76" s="53">
        <f>AC76</f>
        <v>12</v>
      </c>
      <c r="AE76" s="129"/>
    </row>
    <row r="77" spans="6:40" ht="27">
      <c r="F77" s="44" t="s">
        <v>67</v>
      </c>
      <c r="G77" s="51" t="s">
        <v>68</v>
      </c>
      <c r="H77" s="52"/>
      <c r="I77" s="53"/>
      <c r="J77" s="53">
        <f>20*LOG(2^(-J76))</f>
        <v>-72.247198959355487</v>
      </c>
      <c r="K77" s="54"/>
      <c r="L77" s="52">
        <f>20*LOG(2^(-L76))</f>
        <v>-48.164799306236993</v>
      </c>
      <c r="M77" s="53"/>
      <c r="N77" s="55"/>
      <c r="O77" s="56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9">
        <f>20*LOG(2^(-AA76))</f>
        <v>-72.247198959355487</v>
      </c>
      <c r="AB77" s="53">
        <f>20*LOG(2^(-AB76))</f>
        <v>-72.247198959355487</v>
      </c>
      <c r="AC77" s="53">
        <f>20*LOG(2^(-AC76))</f>
        <v>-72.247198959355487</v>
      </c>
      <c r="AD77" s="53">
        <f>AC77</f>
        <v>-72.247198959355487</v>
      </c>
      <c r="AE77" s="129"/>
      <c r="AG77" s="133" t="s">
        <v>69</v>
      </c>
      <c r="AH77" s="134"/>
      <c r="AI77" s="134"/>
      <c r="AJ77" s="134"/>
      <c r="AK77" s="134"/>
    </row>
    <row r="78" spans="6:40" ht="14.25" thickBot="1">
      <c r="F78" s="130" t="s">
        <v>70</v>
      </c>
      <c r="G78" s="51" t="s">
        <v>71</v>
      </c>
      <c r="H78" s="52">
        <v>10</v>
      </c>
      <c r="I78" s="53">
        <v>10</v>
      </c>
      <c r="J78" s="53">
        <f>I78</f>
        <v>10</v>
      </c>
      <c r="K78" s="54"/>
      <c r="L78" s="52"/>
      <c r="M78" s="54">
        <v>10</v>
      </c>
      <c r="N78" s="55">
        <v>10</v>
      </c>
      <c r="O78" s="56">
        <v>10</v>
      </c>
      <c r="P78" s="56">
        <v>10</v>
      </c>
      <c r="Q78" s="56">
        <v>10</v>
      </c>
      <c r="R78" s="56">
        <v>10</v>
      </c>
      <c r="S78" s="53">
        <v>10</v>
      </c>
      <c r="T78" s="53">
        <v>10</v>
      </c>
      <c r="U78" s="53">
        <v>10</v>
      </c>
      <c r="V78" s="53">
        <v>10</v>
      </c>
      <c r="W78" s="53">
        <v>10</v>
      </c>
      <c r="X78" s="53">
        <v>10</v>
      </c>
      <c r="Y78" s="53">
        <v>10</v>
      </c>
      <c r="Z78" s="53">
        <v>10</v>
      </c>
      <c r="AA78" s="129">
        <v>10</v>
      </c>
      <c r="AB78" s="56"/>
      <c r="AC78" s="53"/>
      <c r="AD78" s="53"/>
      <c r="AE78" s="129">
        <v>10</v>
      </c>
      <c r="AG78" s="134"/>
      <c r="AH78" s="134"/>
      <c r="AI78" s="134"/>
      <c r="AJ78" s="134"/>
      <c r="AK78" s="134"/>
      <c r="AL78" s="134"/>
      <c r="AM78" s="134"/>
      <c r="AN78" s="134"/>
    </row>
    <row r="79" spans="6:40" ht="15.75" thickBot="1">
      <c r="F79" s="168" t="s">
        <v>72</v>
      </c>
      <c r="G79" s="169"/>
      <c r="H79" s="52"/>
      <c r="I79" s="53">
        <v>2</v>
      </c>
      <c r="J79" s="53">
        <v>10</v>
      </c>
      <c r="K79" s="54"/>
      <c r="L79" s="52"/>
      <c r="M79" s="54">
        <v>30</v>
      </c>
      <c r="N79" s="55">
        <v>30</v>
      </c>
      <c r="O79" s="56">
        <v>20</v>
      </c>
      <c r="P79" s="53">
        <v>25</v>
      </c>
      <c r="Q79" s="53">
        <v>25</v>
      </c>
      <c r="R79" s="53"/>
      <c r="S79" s="53"/>
      <c r="T79" s="53"/>
      <c r="U79" s="53"/>
      <c r="V79" s="53"/>
      <c r="W79" s="53">
        <v>3</v>
      </c>
      <c r="X79" s="53">
        <v>20</v>
      </c>
      <c r="Y79" s="53">
        <v>10</v>
      </c>
      <c r="Z79" s="53">
        <v>10</v>
      </c>
      <c r="AA79" s="129">
        <v>20</v>
      </c>
      <c r="AB79" s="56"/>
      <c r="AC79" s="53"/>
      <c r="AD79" s="53"/>
      <c r="AE79" s="129">
        <v>10</v>
      </c>
      <c r="AG79" s="136" t="s">
        <v>73</v>
      </c>
      <c r="AH79" s="137">
        <v>25</v>
      </c>
      <c r="AI79" s="138" t="s">
        <v>74</v>
      </c>
      <c r="AJ79" s="139">
        <f>AH79+273</f>
        <v>298</v>
      </c>
      <c r="AK79" s="138" t="s">
        <v>75</v>
      </c>
      <c r="AL79" s="134"/>
      <c r="AM79" s="134"/>
      <c r="AN79" s="134"/>
    </row>
    <row r="80" spans="6:40" ht="17.25" thickBot="1">
      <c r="F80" s="135" t="s">
        <v>76</v>
      </c>
      <c r="G80" s="51" t="s">
        <v>61</v>
      </c>
      <c r="H80" s="52">
        <v>140</v>
      </c>
      <c r="I80" s="53">
        <f>20*LOG(1.5/0.000001)</f>
        <v>123.52182518111363</v>
      </c>
      <c r="J80" s="140">
        <f>20*LOG(1/0.000001)</f>
        <v>120</v>
      </c>
      <c r="K80" s="54"/>
      <c r="L80" s="141">
        <f>20*LOG(0.5/0.000001)</f>
        <v>113.97940008672037</v>
      </c>
      <c r="M80" s="142">
        <f>20*LOG(0.5/0.000001)</f>
        <v>113.97940008672037</v>
      </c>
      <c r="N80" s="55"/>
      <c r="O80" s="56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>
        <f>20*LOG(0.5/0.000001)</f>
        <v>113.97940008672037</v>
      </c>
      <c r="AA80" s="143">
        <f>20*LOG(0.5/0.000001)</f>
        <v>113.97940008672037</v>
      </c>
      <c r="AB80" s="56"/>
      <c r="AC80" s="53"/>
      <c r="AD80" s="53">
        <f>20*LOG(1/0.000001)</f>
        <v>120</v>
      </c>
      <c r="AE80" s="129"/>
      <c r="AG80" s="136" t="s">
        <v>77</v>
      </c>
      <c r="AH80" s="137">
        <v>10</v>
      </c>
      <c r="AI80" s="138" t="s">
        <v>78</v>
      </c>
      <c r="AJ80" s="144">
        <f>AH80*1000</f>
        <v>10000</v>
      </c>
      <c r="AK80" s="138" t="s">
        <v>79</v>
      </c>
      <c r="AL80" s="145" t="s">
        <v>80</v>
      </c>
      <c r="AM80" s="144">
        <v>1.3800000000000001E-23</v>
      </c>
      <c r="AN80" s="138" t="s">
        <v>81</v>
      </c>
    </row>
    <row r="81" spans="6:40" ht="16.5">
      <c r="F81" s="135" t="s">
        <v>82</v>
      </c>
      <c r="G81" s="51" t="s">
        <v>52</v>
      </c>
      <c r="H81" s="52"/>
      <c r="I81" s="53"/>
      <c r="J81" s="53"/>
      <c r="K81" s="54"/>
      <c r="L81" s="52"/>
      <c r="M81" s="54"/>
      <c r="N81" s="55">
        <v>10</v>
      </c>
      <c r="O81" s="56"/>
      <c r="P81" s="53">
        <v>20</v>
      </c>
      <c r="Q81" s="53">
        <v>43</v>
      </c>
      <c r="R81" s="53"/>
      <c r="S81" s="53"/>
      <c r="T81" s="53"/>
      <c r="U81" s="53"/>
      <c r="V81" s="53"/>
      <c r="W81" s="53">
        <v>10</v>
      </c>
      <c r="X81" s="53"/>
      <c r="Y81" s="53">
        <v>10</v>
      </c>
      <c r="Z81" s="53"/>
      <c r="AA81" s="129"/>
      <c r="AB81" s="56"/>
      <c r="AC81" s="53"/>
      <c r="AD81" s="53"/>
      <c r="AE81" s="129">
        <v>27</v>
      </c>
      <c r="AG81" s="136" t="s">
        <v>83</v>
      </c>
      <c r="AH81" s="144">
        <f>AM80*AJ79</f>
        <v>4.1124E-21</v>
      </c>
      <c r="AI81" s="138" t="s">
        <v>84</v>
      </c>
      <c r="AJ81" s="144">
        <f>10*LOG(AH81/0.001)</f>
        <v>-173.85904649522507</v>
      </c>
      <c r="AK81" s="138" t="s">
        <v>85</v>
      </c>
      <c r="AL81" s="138"/>
      <c r="AM81" s="134"/>
      <c r="AN81" s="138"/>
    </row>
    <row r="82" spans="6:40" ht="17.25" thickBot="1">
      <c r="F82" s="131" t="s">
        <v>86</v>
      </c>
      <c r="G82" s="60" t="s">
        <v>52</v>
      </c>
      <c r="H82" s="146"/>
      <c r="I82" s="147"/>
      <c r="J82" s="147"/>
      <c r="K82" s="148"/>
      <c r="L82" s="146"/>
      <c r="M82" s="148"/>
      <c r="N82" s="149">
        <f>O82</f>
        <v>5</v>
      </c>
      <c r="O82" s="150">
        <v>5</v>
      </c>
      <c r="P82" s="147"/>
      <c r="Q82" s="147"/>
      <c r="R82" s="147"/>
      <c r="S82" s="147"/>
      <c r="T82" s="147"/>
      <c r="U82" s="147"/>
      <c r="V82" s="147"/>
      <c r="W82" s="151">
        <f>X82</f>
        <v>5</v>
      </c>
      <c r="X82" s="147">
        <v>5</v>
      </c>
      <c r="Y82" s="147"/>
      <c r="Z82" s="147"/>
      <c r="AA82" s="152"/>
      <c r="AB82" s="150"/>
      <c r="AC82" s="147"/>
      <c r="AD82" s="147"/>
      <c r="AE82" s="152"/>
      <c r="AG82" s="134"/>
      <c r="AH82" s="144">
        <f>AM80*AJ79*AJ80</f>
        <v>4.1123999999999998E-17</v>
      </c>
      <c r="AI82" s="138" t="s">
        <v>87</v>
      </c>
      <c r="AJ82" s="144">
        <f>10*LOG(AH82/0.001)</f>
        <v>-133.85904649522507</v>
      </c>
      <c r="AK82" s="138" t="s">
        <v>88</v>
      </c>
      <c r="AL82" s="138"/>
      <c r="AM82" s="134"/>
      <c r="AN82" s="138"/>
    </row>
    <row r="83" spans="6:40" ht="18.75" customHeight="1">
      <c r="F83" s="170" t="s">
        <v>89</v>
      </c>
      <c r="G83" s="153" t="s">
        <v>90</v>
      </c>
      <c r="H83" s="154">
        <f>H84+117.78</f>
        <v>-16.079046495225072</v>
      </c>
      <c r="I83" s="155">
        <f>I84+117.78</f>
        <v>-16.079046495225072</v>
      </c>
      <c r="J83" s="156">
        <f>J84+117.78</f>
        <v>-16.079046495225072</v>
      </c>
      <c r="K83" s="157"/>
      <c r="L83" s="154"/>
      <c r="M83" s="155"/>
      <c r="N83" s="158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>
        <f>Z84+120</f>
        <v>-13.859046495225073</v>
      </c>
      <c r="AA83" s="159">
        <f>AA84+120</f>
        <v>-13.859046495225073</v>
      </c>
      <c r="AB83" s="160"/>
      <c r="AC83" s="155"/>
      <c r="AD83" s="155"/>
      <c r="AE83" s="157"/>
      <c r="AH83" s="1">
        <f>10*LOG(AH82)</f>
        <v>-163.85904649522507</v>
      </c>
      <c r="AL83" s="134"/>
      <c r="AM83" s="134"/>
      <c r="AN83" s="134"/>
    </row>
    <row r="84" spans="6:40" ht="17.45" customHeight="1" thickBot="1">
      <c r="F84" s="171"/>
      <c r="G84" s="161" t="s">
        <v>91</v>
      </c>
      <c r="H84" s="146">
        <f>10*LOG($AH$81*1000*H78*1000)</f>
        <v>-133.85904649522507</v>
      </c>
      <c r="I84" s="147">
        <f>10*LOG($AH$81*1000*I78*1000)</f>
        <v>-133.85904649522507</v>
      </c>
      <c r="J84" s="162">
        <f>10*LOG($AH$81*1000*J78*1000)</f>
        <v>-133.85904649522507</v>
      </c>
      <c r="K84" s="152"/>
      <c r="L84" s="146"/>
      <c r="M84" s="147">
        <f t="shared" ref="M84:AA84" si="2">10*LOG($AH$81*1000*M78*1000)</f>
        <v>-133.85904649522507</v>
      </c>
      <c r="N84" s="147">
        <f t="shared" si="2"/>
        <v>-133.85904649522507</v>
      </c>
      <c r="O84" s="147">
        <f t="shared" si="2"/>
        <v>-133.85904649522507</v>
      </c>
      <c r="P84" s="147">
        <f t="shared" si="2"/>
        <v>-133.85904649522507</v>
      </c>
      <c r="Q84" s="147">
        <f t="shared" si="2"/>
        <v>-133.85904649522507</v>
      </c>
      <c r="R84" s="147">
        <f t="shared" si="2"/>
        <v>-133.85904649522507</v>
      </c>
      <c r="S84" s="147">
        <f t="shared" si="2"/>
        <v>-133.85904649522507</v>
      </c>
      <c r="T84" s="147">
        <f t="shared" si="2"/>
        <v>-133.85904649522507</v>
      </c>
      <c r="U84" s="147">
        <f t="shared" si="2"/>
        <v>-133.85904649522507</v>
      </c>
      <c r="V84" s="147">
        <f t="shared" si="2"/>
        <v>-133.85904649522507</v>
      </c>
      <c r="W84" s="147">
        <f t="shared" si="2"/>
        <v>-133.85904649522507</v>
      </c>
      <c r="X84" s="147">
        <f t="shared" si="2"/>
        <v>-133.85904649522507</v>
      </c>
      <c r="Y84" s="147">
        <f t="shared" si="2"/>
        <v>-133.85904649522507</v>
      </c>
      <c r="Z84" s="147">
        <f t="shared" si="2"/>
        <v>-133.85904649522507</v>
      </c>
      <c r="AA84" s="163">
        <f t="shared" si="2"/>
        <v>-133.85904649522507</v>
      </c>
      <c r="AB84" s="150"/>
      <c r="AC84" s="147"/>
      <c r="AD84" s="147"/>
      <c r="AE84" s="164">
        <f>10*LOG($AH$81*1000*AE78*1000)</f>
        <v>-133.85904649522507</v>
      </c>
    </row>
    <row r="85" spans="6:40" ht="17.45" customHeight="1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40" ht="17.45" customHeight="1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40" ht="17.45" customHeight="1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40" ht="17.45" customHeight="1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40" ht="17.45" customHeight="1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40" ht="17.45" customHeight="1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40" ht="17.45" customHeight="1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40" ht="17.45" customHeight="1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40" ht="17.45" customHeight="1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40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40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40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7:9" s="1" customFormat="1">
      <c r="G97" s="2"/>
      <c r="H97" s="2"/>
      <c r="I97" s="2"/>
    </row>
    <row r="98" spans="7:9" s="1" customFormat="1">
      <c r="G98" s="2"/>
      <c r="H98" s="2"/>
      <c r="I98" s="2"/>
    </row>
    <row r="99" spans="7:9" s="1" customFormat="1">
      <c r="G99" s="2"/>
      <c r="H99" s="2"/>
      <c r="I99" s="2"/>
    </row>
    <row r="100" spans="7:9" s="1" customFormat="1">
      <c r="G100" s="2"/>
      <c r="H100" s="2"/>
      <c r="I100" s="2"/>
    </row>
    <row r="101" spans="7:9" s="1" customFormat="1">
      <c r="G101" s="2"/>
      <c r="H101" s="2"/>
      <c r="I101" s="2"/>
    </row>
    <row r="102" spans="7:9" s="1" customFormat="1">
      <c r="G102" s="2"/>
      <c r="H102" s="2"/>
      <c r="I102" s="2"/>
    </row>
    <row r="103" spans="7:9" s="1" customFormat="1">
      <c r="G103" s="2"/>
      <c r="H103" s="2"/>
      <c r="I103" s="2"/>
    </row>
    <row r="104" spans="7:9" s="1" customFormat="1">
      <c r="G104" s="2"/>
      <c r="H104" s="2"/>
      <c r="I104" s="2"/>
    </row>
    <row r="105" spans="7:9" s="1" customFormat="1">
      <c r="G105" s="2"/>
      <c r="H105" s="2"/>
      <c r="I105" s="2"/>
    </row>
  </sheetData>
  <mergeCells count="39">
    <mergeCell ref="V51:W51"/>
    <mergeCell ref="X51:Y51"/>
    <mergeCell ref="Z51:AB51"/>
    <mergeCell ref="AC51:AD51"/>
    <mergeCell ref="F51:G51"/>
    <mergeCell ref="H51:I51"/>
    <mergeCell ref="J51:K51"/>
    <mergeCell ref="L51:N51"/>
    <mergeCell ref="O51:P51"/>
    <mergeCell ref="R51:U51"/>
    <mergeCell ref="F52:G52"/>
    <mergeCell ref="F53:G56"/>
    <mergeCell ref="H53:I53"/>
    <mergeCell ref="N53:R53"/>
    <mergeCell ref="S53:T53"/>
    <mergeCell ref="U53:Y53"/>
    <mergeCell ref="H54:I54"/>
    <mergeCell ref="N54:Y54"/>
    <mergeCell ref="H55:I56"/>
    <mergeCell ref="K55:K56"/>
    <mergeCell ref="L55:L56"/>
    <mergeCell ref="P55:W56"/>
    <mergeCell ref="Y55:Y56"/>
    <mergeCell ref="AB55:AB56"/>
    <mergeCell ref="AC55:AC56"/>
    <mergeCell ref="AE55:AE56"/>
    <mergeCell ref="F59:F61"/>
    <mergeCell ref="AG61:AG64"/>
    <mergeCell ref="F62:F64"/>
    <mergeCell ref="F73:F75"/>
    <mergeCell ref="F79:G79"/>
    <mergeCell ref="F83:F84"/>
    <mergeCell ref="AH63:AH64"/>
    <mergeCell ref="AG65:AG68"/>
    <mergeCell ref="F66:F68"/>
    <mergeCell ref="AH67:AH68"/>
    <mergeCell ref="F69:F72"/>
    <mergeCell ref="AG69:AG72"/>
    <mergeCell ref="AH71:AH7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51FD-800D-4E6F-92B4-1CB9F5379E77}">
  <dimension ref="F50:AN105"/>
  <sheetViews>
    <sheetView showGridLines="0" topLeftCell="F22" zoomScaleNormal="100" workbookViewId="0">
      <selection activeCell="F5" sqref="F5"/>
    </sheetView>
  </sheetViews>
  <sheetFormatPr defaultColWidth="8.75" defaultRowHeight="13.5"/>
  <cols>
    <col min="1" max="4" width="8.75" style="1"/>
    <col min="5" max="5" width="1.875" style="1" customWidth="1"/>
    <col min="6" max="6" width="8.375" style="1" customWidth="1"/>
    <col min="7" max="7" width="8.375" style="2" customWidth="1"/>
    <col min="8" max="22" width="6.625" style="2" customWidth="1"/>
    <col min="23" max="31" width="6.625" style="1" customWidth="1"/>
    <col min="32" max="33" width="8.75" style="1"/>
    <col min="34" max="34" width="11.625" style="1" bestFit="1" customWidth="1"/>
    <col min="35" max="35" width="14.5" style="1" customWidth="1"/>
    <col min="36" max="36" width="17.125" style="1" customWidth="1"/>
    <col min="37" max="37" width="8.75" style="1"/>
    <col min="38" max="47" width="9" style="1" customWidth="1"/>
    <col min="48" max="16384" width="8.75" style="1"/>
  </cols>
  <sheetData>
    <row r="50" spans="6:37" ht="7.9" customHeight="1" thickBot="1"/>
    <row r="51" spans="6:37" s="5" customFormat="1" ht="34.5" customHeight="1">
      <c r="F51" s="229" t="s">
        <v>0</v>
      </c>
      <c r="G51" s="230"/>
      <c r="H51" s="231" t="s">
        <v>1</v>
      </c>
      <c r="I51" s="232"/>
      <c r="J51" s="233" t="s">
        <v>92</v>
      </c>
      <c r="K51" s="234"/>
      <c r="L51" s="235" t="s">
        <v>2</v>
      </c>
      <c r="M51" s="236"/>
      <c r="N51" s="236"/>
      <c r="O51" s="237" t="s">
        <v>3</v>
      </c>
      <c r="P51" s="237"/>
      <c r="Q51" s="3" t="s">
        <v>4</v>
      </c>
      <c r="R51" s="220" t="s">
        <v>5</v>
      </c>
      <c r="S51" s="221"/>
      <c r="T51" s="221"/>
      <c r="U51" s="221"/>
      <c r="V51" s="222" t="s">
        <v>6</v>
      </c>
      <c r="W51" s="223"/>
      <c r="X51" s="224" t="s">
        <v>7</v>
      </c>
      <c r="Y51" s="224"/>
      <c r="Z51" s="225" t="s">
        <v>8</v>
      </c>
      <c r="AA51" s="226"/>
      <c r="AB51" s="227"/>
      <c r="AC51" s="228" t="s">
        <v>9</v>
      </c>
      <c r="AD51" s="228"/>
      <c r="AE51" s="4" t="s">
        <v>10</v>
      </c>
    </row>
    <row r="52" spans="6:37" s="5" customFormat="1" ht="36.75" thickBot="1">
      <c r="F52" s="207" t="s">
        <v>11</v>
      </c>
      <c r="G52" s="208"/>
      <c r="H52" s="6" t="s">
        <v>12</v>
      </c>
      <c r="I52" s="7" t="s">
        <v>13</v>
      </c>
      <c r="J52" s="8" t="s">
        <v>14</v>
      </c>
      <c r="K52" s="9" t="s">
        <v>15</v>
      </c>
      <c r="L52" s="10" t="s">
        <v>16</v>
      </c>
      <c r="M52" s="11" t="s">
        <v>17</v>
      </c>
      <c r="N52" s="11" t="s">
        <v>18</v>
      </c>
      <c r="O52" s="12" t="s">
        <v>19</v>
      </c>
      <c r="P52" s="12" t="s">
        <v>13</v>
      </c>
      <c r="Q52" s="13" t="s">
        <v>13</v>
      </c>
      <c r="R52" s="14" t="s">
        <v>20</v>
      </c>
      <c r="S52" s="14" t="s">
        <v>21</v>
      </c>
      <c r="T52" s="14" t="s">
        <v>22</v>
      </c>
      <c r="U52" s="14" t="s">
        <v>21</v>
      </c>
      <c r="V52" s="15" t="s">
        <v>23</v>
      </c>
      <c r="W52" s="15" t="s">
        <v>13</v>
      </c>
      <c r="X52" s="16" t="s">
        <v>24</v>
      </c>
      <c r="Y52" s="16" t="s">
        <v>13</v>
      </c>
      <c r="Z52" s="17" t="s">
        <v>25</v>
      </c>
      <c r="AA52" s="18" t="s">
        <v>14</v>
      </c>
      <c r="AB52" s="19" t="s">
        <v>26</v>
      </c>
      <c r="AC52" s="20" t="s">
        <v>27</v>
      </c>
      <c r="AD52" s="20" t="s">
        <v>17</v>
      </c>
      <c r="AE52" s="21" t="s">
        <v>13</v>
      </c>
    </row>
    <row r="53" spans="6:37" s="5" customFormat="1" ht="54.75" customHeight="1">
      <c r="F53" s="209" t="s">
        <v>28</v>
      </c>
      <c r="G53" s="210"/>
      <c r="H53" s="214" t="s">
        <v>29</v>
      </c>
      <c r="I53" s="215"/>
      <c r="J53" s="22" t="s">
        <v>30</v>
      </c>
      <c r="K53" s="23" t="s">
        <v>31</v>
      </c>
      <c r="L53" s="24" t="s">
        <v>30</v>
      </c>
      <c r="M53" s="25" t="s">
        <v>32</v>
      </c>
      <c r="N53" s="216" t="s">
        <v>33</v>
      </c>
      <c r="O53" s="217"/>
      <c r="P53" s="217"/>
      <c r="Q53" s="217"/>
      <c r="R53" s="218"/>
      <c r="S53" s="219" t="s">
        <v>34</v>
      </c>
      <c r="T53" s="219"/>
      <c r="U53" s="187" t="s">
        <v>33</v>
      </c>
      <c r="V53" s="187"/>
      <c r="W53" s="187"/>
      <c r="X53" s="187"/>
      <c r="Y53" s="187"/>
      <c r="Z53" s="25" t="s">
        <v>32</v>
      </c>
      <c r="AA53" s="27" t="s">
        <v>30</v>
      </c>
      <c r="AB53" s="28" t="s">
        <v>31</v>
      </c>
      <c r="AC53" s="29" t="s">
        <v>30</v>
      </c>
      <c r="AD53" s="25" t="s">
        <v>32</v>
      </c>
      <c r="AE53" s="30" t="s">
        <v>29</v>
      </c>
    </row>
    <row r="54" spans="6:37" s="5" customFormat="1">
      <c r="F54" s="211"/>
      <c r="G54" s="212"/>
      <c r="H54" s="188" t="s">
        <v>35</v>
      </c>
      <c r="I54" s="189"/>
      <c r="J54" s="31" t="s">
        <v>36</v>
      </c>
      <c r="K54" s="32"/>
      <c r="L54" s="33"/>
      <c r="M54" s="25" t="s">
        <v>37</v>
      </c>
      <c r="N54" s="190" t="s">
        <v>38</v>
      </c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2"/>
      <c r="Z54" s="25" t="s">
        <v>37</v>
      </c>
      <c r="AA54" s="34" t="s">
        <v>36</v>
      </c>
      <c r="AB54" s="35"/>
      <c r="AC54" s="36"/>
      <c r="AD54" s="25" t="s">
        <v>37</v>
      </c>
      <c r="AE54" s="37" t="s">
        <v>35</v>
      </c>
      <c r="AF54" s="38" t="s">
        <v>39</v>
      </c>
      <c r="AG54" s="39"/>
      <c r="AH54" s="39"/>
      <c r="AI54" s="39"/>
    </row>
    <row r="55" spans="6:37" s="5" customFormat="1" ht="54" customHeight="1">
      <c r="F55" s="211"/>
      <c r="G55" s="212"/>
      <c r="H55" s="193" t="s">
        <v>40</v>
      </c>
      <c r="I55" s="194"/>
      <c r="J55" s="40" t="s">
        <v>41</v>
      </c>
      <c r="K55" s="197" t="s">
        <v>40</v>
      </c>
      <c r="L55" s="199" t="s">
        <v>42</v>
      </c>
      <c r="M55" s="40" t="s">
        <v>41</v>
      </c>
      <c r="N55" s="42" t="s">
        <v>33</v>
      </c>
      <c r="O55" s="42" t="s">
        <v>33</v>
      </c>
      <c r="P55" s="201" t="s">
        <v>42</v>
      </c>
      <c r="Q55" s="202"/>
      <c r="R55" s="202"/>
      <c r="S55" s="202"/>
      <c r="T55" s="202"/>
      <c r="U55" s="202"/>
      <c r="V55" s="202"/>
      <c r="W55" s="203"/>
      <c r="X55" s="42" t="s">
        <v>33</v>
      </c>
      <c r="Y55" s="177" t="s">
        <v>42</v>
      </c>
      <c r="Z55" s="42" t="s">
        <v>33</v>
      </c>
      <c r="AA55" s="43" t="s">
        <v>41</v>
      </c>
      <c r="AB55" s="175" t="s">
        <v>43</v>
      </c>
      <c r="AC55" s="177" t="s">
        <v>40</v>
      </c>
      <c r="AD55" s="40" t="s">
        <v>41</v>
      </c>
      <c r="AE55" s="179" t="s">
        <v>42</v>
      </c>
    </row>
    <row r="56" spans="6:37" s="5" customFormat="1">
      <c r="F56" s="195"/>
      <c r="G56" s="213"/>
      <c r="H56" s="195"/>
      <c r="I56" s="196"/>
      <c r="J56" s="40" t="s">
        <v>37</v>
      </c>
      <c r="K56" s="198"/>
      <c r="L56" s="200"/>
      <c r="M56" s="45" t="s">
        <v>37</v>
      </c>
      <c r="N56" s="46" t="s">
        <v>38</v>
      </c>
      <c r="O56" s="47" t="s">
        <v>38</v>
      </c>
      <c r="P56" s="204"/>
      <c r="Q56" s="205"/>
      <c r="R56" s="205"/>
      <c r="S56" s="205"/>
      <c r="T56" s="205"/>
      <c r="U56" s="205"/>
      <c r="V56" s="205"/>
      <c r="W56" s="206"/>
      <c r="X56" s="42" t="s">
        <v>38</v>
      </c>
      <c r="Y56" s="178"/>
      <c r="Z56" s="26"/>
      <c r="AA56" s="48" t="s">
        <v>37</v>
      </c>
      <c r="AB56" s="176"/>
      <c r="AC56" s="178"/>
      <c r="AD56" s="49" t="s">
        <v>37</v>
      </c>
      <c r="AE56" s="180"/>
    </row>
    <row r="57" spans="6:37" ht="27">
      <c r="F57" s="50" t="s">
        <v>44</v>
      </c>
      <c r="G57" s="51" t="s">
        <v>45</v>
      </c>
      <c r="H57" s="52">
        <f>H80-H59</f>
        <v>69.979400086720375</v>
      </c>
      <c r="I57" s="53">
        <f>I80-I59</f>
        <v>9.5012252678340019</v>
      </c>
      <c r="J57" s="53">
        <f>0-J60</f>
        <v>5.9794000867203749</v>
      </c>
      <c r="K57" s="54">
        <f>0-K60</f>
        <v>5.9794000867203749</v>
      </c>
      <c r="L57" s="52">
        <f>0-L60</f>
        <v>5.9794000867203749</v>
      </c>
      <c r="M57" s="54">
        <f>M80-M59</f>
        <v>5.9794000867203749</v>
      </c>
      <c r="N57" s="55">
        <f>N81-N61</f>
        <v>14.989999999999995</v>
      </c>
      <c r="O57" s="56">
        <f>O82-N61</f>
        <v>9.9899999999999949</v>
      </c>
      <c r="P57" s="55">
        <f>P81-P61</f>
        <v>14.989999999999995</v>
      </c>
      <c r="Q57" s="55">
        <f>Q81-Q61</f>
        <v>7.9899999999999949</v>
      </c>
      <c r="R57" s="55"/>
      <c r="S57" s="53"/>
      <c r="T57" s="53"/>
      <c r="U57" s="53"/>
      <c r="V57" s="53"/>
      <c r="W57" s="53">
        <f>W81-W61</f>
        <v>81.69</v>
      </c>
      <c r="X57" s="53">
        <f>X81-W61</f>
        <v>71.69</v>
      </c>
      <c r="Y57" s="53">
        <f>Y81-Y61</f>
        <v>51.69</v>
      </c>
      <c r="Z57" s="57">
        <f>Z80-Z59</f>
        <v>42.679400086720378</v>
      </c>
      <c r="AA57" s="58">
        <f>0-AA60</f>
        <v>42.679400086720378</v>
      </c>
      <c r="AB57" s="59">
        <f>-AB60</f>
        <v>5.9794000867203749</v>
      </c>
      <c r="AC57" s="57">
        <f>-AC60</f>
        <v>5.9794000867203749</v>
      </c>
      <c r="AD57" s="57">
        <f>AD80-AD59</f>
        <v>5.9794000867203749</v>
      </c>
      <c r="AE57" s="58">
        <f>AE81-AE61</f>
        <v>5.7594000867203761</v>
      </c>
    </row>
    <row r="58" spans="6:37" ht="13.5" customHeight="1" thickBot="1">
      <c r="F58" s="41" t="s">
        <v>46</v>
      </c>
      <c r="G58" s="60" t="s">
        <v>47</v>
      </c>
      <c r="H58" s="61"/>
      <c r="I58" s="62">
        <v>44</v>
      </c>
      <c r="J58" s="62" t="s">
        <v>48</v>
      </c>
      <c r="K58" s="63">
        <v>0</v>
      </c>
      <c r="L58" s="61">
        <v>0</v>
      </c>
      <c r="M58" s="63">
        <v>0</v>
      </c>
      <c r="N58" s="64">
        <v>-6</v>
      </c>
      <c r="O58" s="65">
        <v>-20</v>
      </c>
      <c r="P58" s="62">
        <v>30</v>
      </c>
      <c r="Q58" s="62">
        <v>30</v>
      </c>
      <c r="R58" s="62">
        <v>-6</v>
      </c>
      <c r="S58" s="62">
        <v>2.15</v>
      </c>
      <c r="T58" s="66">
        <f>-143</f>
        <v>-143</v>
      </c>
      <c r="U58" s="62">
        <v>2.15</v>
      </c>
      <c r="V58" s="62">
        <v>-2</v>
      </c>
      <c r="W58" s="62">
        <v>40</v>
      </c>
      <c r="X58" s="62">
        <v>-20</v>
      </c>
      <c r="Y58" s="62">
        <v>50</v>
      </c>
      <c r="Z58" s="62">
        <v>6</v>
      </c>
      <c r="AA58" s="67">
        <v>0</v>
      </c>
      <c r="AB58" s="65">
        <v>0</v>
      </c>
      <c r="AC58" s="62">
        <v>0</v>
      </c>
      <c r="AD58" s="62">
        <v>0</v>
      </c>
      <c r="AE58" s="67">
        <v>25</v>
      </c>
    </row>
    <row r="59" spans="6:37">
      <c r="F59" s="181" t="s">
        <v>49</v>
      </c>
      <c r="G59" s="68" t="s">
        <v>50</v>
      </c>
      <c r="H59" s="69">
        <f>AI64</f>
        <v>70.020599913279625</v>
      </c>
      <c r="I59" s="70">
        <f>H59+I58</f>
        <v>114.02059991327963</v>
      </c>
      <c r="J59" s="71">
        <f>I59</f>
        <v>114.02059991327963</v>
      </c>
      <c r="K59" s="72"/>
      <c r="L59" s="73"/>
      <c r="M59" s="74">
        <f>M80+L60</f>
        <v>108</v>
      </c>
      <c r="N59" s="75">
        <f>M59+N58</f>
        <v>102</v>
      </c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8">
        <f>Y61+106.99</f>
        <v>65.3</v>
      </c>
      <c r="Z59" s="79">
        <f>Y59+Z58</f>
        <v>71.3</v>
      </c>
      <c r="AA59" s="80">
        <f>Z59</f>
        <v>71.3</v>
      </c>
      <c r="AB59" s="76"/>
      <c r="AC59" s="77"/>
      <c r="AD59" s="79">
        <f>AD80+AD60</f>
        <v>114.02059991327963</v>
      </c>
      <c r="AE59" s="81">
        <f>AD59+AE58</f>
        <v>139.02059991327963</v>
      </c>
    </row>
    <row r="60" spans="6:37">
      <c r="F60" s="182"/>
      <c r="G60" s="82" t="s">
        <v>51</v>
      </c>
      <c r="H60" s="83"/>
      <c r="I60" s="84"/>
      <c r="J60" s="85">
        <f>I59-J$80</f>
        <v>-5.9794000867203749</v>
      </c>
      <c r="K60" s="86">
        <f>J60+K58</f>
        <v>-5.9794000867203749</v>
      </c>
      <c r="L60" s="87">
        <f>K60+L58</f>
        <v>-5.9794000867203749</v>
      </c>
      <c r="M60" s="88">
        <f>L60</f>
        <v>-5.9794000867203749</v>
      </c>
      <c r="N60" s="89"/>
      <c r="O60" s="90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91">
        <f>Z59-AA80</f>
        <v>-42.679400086720378</v>
      </c>
      <c r="AB60" s="92">
        <f>K60</f>
        <v>-5.9794000867203749</v>
      </c>
      <c r="AC60" s="85">
        <f>K60</f>
        <v>-5.9794000867203749</v>
      </c>
      <c r="AD60" s="88">
        <f>AC60+AD58</f>
        <v>-5.9794000867203749</v>
      </c>
      <c r="AE60" s="93"/>
    </row>
    <row r="61" spans="6:37" ht="14.25" thickBot="1">
      <c r="F61" s="183"/>
      <c r="G61" s="94" t="s">
        <v>52</v>
      </c>
      <c r="H61" s="95">
        <f>H59-117.78</f>
        <v>-47.759400086720376</v>
      </c>
      <c r="I61" s="96">
        <f>H61+I58</f>
        <v>-3.7594000867203761</v>
      </c>
      <c r="J61" s="97">
        <f>I61</f>
        <v>-3.7594000867203761</v>
      </c>
      <c r="K61" s="98"/>
      <c r="L61" s="95"/>
      <c r="M61" s="98"/>
      <c r="N61" s="99">
        <f>N59-106.99</f>
        <v>-4.9899999999999949</v>
      </c>
      <c r="O61" s="100">
        <f t="shared" ref="O61:Y61" si="0">N61+O58</f>
        <v>-24.989999999999995</v>
      </c>
      <c r="P61" s="101">
        <f t="shared" si="0"/>
        <v>5.0100000000000051</v>
      </c>
      <c r="Q61" s="101">
        <f t="shared" si="0"/>
        <v>35.010000000000005</v>
      </c>
      <c r="R61" s="101">
        <f t="shared" si="0"/>
        <v>29.010000000000005</v>
      </c>
      <c r="S61" s="101">
        <f>R61+S58</f>
        <v>31.160000000000004</v>
      </c>
      <c r="T61" s="102">
        <f t="shared" si="0"/>
        <v>-111.84</v>
      </c>
      <c r="U61" s="101">
        <f t="shared" si="0"/>
        <v>-109.69</v>
      </c>
      <c r="V61" s="101">
        <f t="shared" si="0"/>
        <v>-111.69</v>
      </c>
      <c r="W61" s="101">
        <f>V61+W58</f>
        <v>-71.69</v>
      </c>
      <c r="X61" s="101">
        <f>W61+X58</f>
        <v>-91.69</v>
      </c>
      <c r="Y61" s="101">
        <f t="shared" si="0"/>
        <v>-41.69</v>
      </c>
      <c r="Z61" s="96"/>
      <c r="AA61" s="103"/>
      <c r="AB61" s="104"/>
      <c r="AC61" s="96"/>
      <c r="AD61" s="97">
        <f>AD59-117.78</f>
        <v>-3.7594000867203761</v>
      </c>
      <c r="AE61" s="105">
        <f>AE59-117.78</f>
        <v>21.240599913279624</v>
      </c>
      <c r="AG61" s="174" t="s">
        <v>53</v>
      </c>
      <c r="AH61" s="106" t="s">
        <v>54</v>
      </c>
      <c r="AI61" s="107">
        <v>74</v>
      </c>
      <c r="AJ61" s="108">
        <f>10^(AI61/20)*0.0002</f>
        <v>1.0023744672545465</v>
      </c>
      <c r="AK61" s="109">
        <f>AJ61</f>
        <v>1.0023744672545465</v>
      </c>
    </row>
    <row r="62" spans="6:37">
      <c r="F62" s="184" t="s">
        <v>55</v>
      </c>
      <c r="G62" s="68" t="s">
        <v>50</v>
      </c>
      <c r="H62" s="69">
        <f>H66</f>
        <v>20.020599913279618</v>
      </c>
      <c r="I62" s="70">
        <f>I64+117.78</f>
        <v>64.022289323811165</v>
      </c>
      <c r="J62" s="71">
        <f>J63+J80</f>
        <v>64.052413737978512</v>
      </c>
      <c r="K62" s="72"/>
      <c r="L62" s="73"/>
      <c r="M62" s="74">
        <f>20*LOG(SQRT((10^((M80+L63)/20))^2+(10^(M66/20))^2+(10^(M69/20))^2))</f>
        <v>65.814610304874662</v>
      </c>
      <c r="N62" s="75">
        <f>N64+106.99</f>
        <v>60.479373356440696</v>
      </c>
      <c r="O62" s="76"/>
      <c r="P62" s="77"/>
      <c r="Q62" s="77"/>
      <c r="R62" s="77"/>
      <c r="S62" s="77"/>
      <c r="T62" s="77"/>
      <c r="U62" s="77"/>
      <c r="V62" s="77"/>
      <c r="W62" s="77"/>
      <c r="X62" s="77"/>
      <c r="Y62" s="78">
        <f>Y64+106.99</f>
        <v>47.349135944479649</v>
      </c>
      <c r="Z62" s="79">
        <f>20*LOG(SQRT((10^((Z58+Y64+106.99)/20))^2+(10^(Z66/20))^2+(10^(Z69/20)^2)))</f>
        <v>53.349195920508961</v>
      </c>
      <c r="AA62" s="80">
        <f>Z62</f>
        <v>53.349195920508961</v>
      </c>
      <c r="AB62" s="76"/>
      <c r="AC62" s="77"/>
      <c r="AD62" s="79">
        <f>20*LOG(SQRT((10^((AD80+AC63+AD58)/20))^2+(10^(AD66/20))^2+(10^(AD69/20))^2))</f>
        <v>64.052498984157239</v>
      </c>
      <c r="AE62" s="81">
        <f>AE64+117.78</f>
        <v>109.0641306388694</v>
      </c>
      <c r="AG62" s="174"/>
      <c r="AH62" s="106" t="s">
        <v>56</v>
      </c>
      <c r="AI62" s="107">
        <v>-50</v>
      </c>
      <c r="AJ62" s="110"/>
      <c r="AK62" s="110"/>
    </row>
    <row r="63" spans="6:37">
      <c r="F63" s="185"/>
      <c r="G63" s="82" t="s">
        <v>51</v>
      </c>
      <c r="H63" s="83"/>
      <c r="I63" s="84"/>
      <c r="J63" s="85">
        <f>20*LOG(10^((I62-J$80)/20)+10^(J67/20)+10^(J70/20))</f>
        <v>-55.947586262021488</v>
      </c>
      <c r="K63" s="86">
        <f>J63+K58</f>
        <v>-55.947586262021488</v>
      </c>
      <c r="L63" s="87">
        <f>L77</f>
        <v>-48.164799306236993</v>
      </c>
      <c r="M63" s="88">
        <f>M62-M80</f>
        <v>-48.164789781845712</v>
      </c>
      <c r="N63" s="89"/>
      <c r="O63" s="90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91">
        <f>20*LOG(SQRT((10^(((Z62+AA58)-AA80)/20)^2+(10^(AA67/20))^2+(10^(AA70/20))^2)+(10^(AA77/20))^2))</f>
        <v>-60.34070369083171</v>
      </c>
      <c r="AB63" s="92">
        <f>K63</f>
        <v>-55.947586262021488</v>
      </c>
      <c r="AC63" s="85">
        <f>K63</f>
        <v>-55.947586262021488</v>
      </c>
      <c r="AD63" s="88">
        <f>AD62-AD80</f>
        <v>-55.947501015842761</v>
      </c>
      <c r="AE63" s="93"/>
      <c r="AG63" s="174"/>
      <c r="AH63" s="172" t="s">
        <v>57</v>
      </c>
      <c r="AI63" s="111">
        <f>AK61*10^(AI62/20)</f>
        <v>3.1697863849222299E-3</v>
      </c>
      <c r="AJ63" s="110"/>
      <c r="AK63" s="110"/>
    </row>
    <row r="64" spans="6:37" ht="14.25" thickBot="1">
      <c r="F64" s="186"/>
      <c r="G64" s="94" t="s">
        <v>52</v>
      </c>
      <c r="H64" s="95">
        <f>H68</f>
        <v>-97.759400086720376</v>
      </c>
      <c r="I64" s="96">
        <f>10*LOG(10^(I68/10)+10^((H64+I58)/10))</f>
        <v>-53.757710676188836</v>
      </c>
      <c r="J64" s="97">
        <f>J62-117.78</f>
        <v>-53.727586262021489</v>
      </c>
      <c r="K64" s="98"/>
      <c r="L64" s="95"/>
      <c r="M64" s="98"/>
      <c r="N64" s="99">
        <f>10*LOG(10^((M62+N58-106.99)/10)+10^(N68/10)+10^(N71/10))</f>
        <v>-46.510626643559299</v>
      </c>
      <c r="O64" s="100">
        <f>10*LOG(10^((N64+O58)/10)+10^(O68/10)+10^(O71/10)+10^(O74/10))</f>
        <v>-65.917140822142755</v>
      </c>
      <c r="P64" s="101">
        <f>10*LOG(10^((O64+P58)/10)+10^(P68/10)+10^(P74/10))</f>
        <v>-35.916382645857688</v>
      </c>
      <c r="Q64" s="101">
        <f>10*LOG(10^((P64+Q58)/10)+10^(Q68/10)+10^(Q74/10))</f>
        <v>10.11956112826806</v>
      </c>
      <c r="R64" s="101">
        <f>Q64+R58</f>
        <v>4.1195611282680602</v>
      </c>
      <c r="S64" s="101">
        <f>R64+S58</f>
        <v>6.2695611282680606</v>
      </c>
      <c r="T64" s="102">
        <f>S64+T58</f>
        <v>-136.73043887173193</v>
      </c>
      <c r="U64" s="101">
        <f>T64+U58</f>
        <v>-134.58043887173193</v>
      </c>
      <c r="V64" s="101">
        <f>U64+V58</f>
        <v>-136.58043887173193</v>
      </c>
      <c r="W64" s="101">
        <f>10*LOG(10^((V64+W58)/10)+10^(W68/10))</f>
        <v>-89.828432999354817</v>
      </c>
      <c r="X64" s="101">
        <f>10*LOG(10^((W64+X58)/10)+10^(X68/10)+10^(X71/10))</f>
        <v>-109.80848180284309</v>
      </c>
      <c r="Y64" s="101">
        <f>10*LOG(10^((X64+Y58)/10)+10^(Y68/10))</f>
        <v>-59.640864055520346</v>
      </c>
      <c r="Z64" s="96"/>
      <c r="AA64" s="103"/>
      <c r="AB64" s="104"/>
      <c r="AC64" s="96"/>
      <c r="AD64" s="97">
        <f>AD62-117.78</f>
        <v>-53.727501015842762</v>
      </c>
      <c r="AE64" s="105">
        <f>10*LOG(10^((AD64+AE58)/10)+10^(AE68/10)+10^(AE74/10))</f>
        <v>-8.7158693611306042</v>
      </c>
      <c r="AG64" s="174"/>
      <c r="AH64" s="173"/>
      <c r="AI64" s="112">
        <f>20*LOG(AI63/0.000001)</f>
        <v>70.020599913279625</v>
      </c>
      <c r="AJ64" s="110"/>
      <c r="AK64" s="110"/>
    </row>
    <row r="65" spans="6:40" s="39" customFormat="1" ht="14.25" thickBot="1">
      <c r="F65" s="113" t="s">
        <v>58</v>
      </c>
      <c r="G65" s="114" t="s">
        <v>45</v>
      </c>
      <c r="H65" s="115">
        <f>H61-H64</f>
        <v>50</v>
      </c>
      <c r="I65" s="116">
        <f>I61-I64</f>
        <v>49.99831058946846</v>
      </c>
      <c r="J65" s="117">
        <f>J61-J64</f>
        <v>49.968186175301113</v>
      </c>
      <c r="K65" s="118">
        <f>K60-K63</f>
        <v>49.968186175301113</v>
      </c>
      <c r="L65" s="115">
        <f>L60-L63</f>
        <v>42.185399219516619</v>
      </c>
      <c r="M65" s="119"/>
      <c r="N65" s="117">
        <f t="shared" ref="N65:S65" si="1">N61-N64</f>
        <v>41.520626643559304</v>
      </c>
      <c r="O65" s="120">
        <f t="shared" si="1"/>
        <v>40.927140822142761</v>
      </c>
      <c r="P65" s="117">
        <f t="shared" si="1"/>
        <v>40.926382645857693</v>
      </c>
      <c r="Q65" s="117">
        <f t="shared" si="1"/>
        <v>24.890438871731945</v>
      </c>
      <c r="R65" s="117">
        <f t="shared" si="1"/>
        <v>24.890438871731945</v>
      </c>
      <c r="S65" s="117">
        <f t="shared" si="1"/>
        <v>24.890438871731945</v>
      </c>
      <c r="T65" s="121">
        <f>T61-T84</f>
        <v>22.019046495225069</v>
      </c>
      <c r="U65" s="122">
        <f>U61-U84</f>
        <v>24.169046495225075</v>
      </c>
      <c r="V65" s="122">
        <f>V61-V84</f>
        <v>22.169046495225075</v>
      </c>
      <c r="W65" s="117">
        <f>W61-W64</f>
        <v>18.138432999354819</v>
      </c>
      <c r="X65" s="117">
        <f>X61-X64</f>
        <v>18.118481802843093</v>
      </c>
      <c r="Y65" s="117">
        <f>Y61-Y64</f>
        <v>17.950864055520348</v>
      </c>
      <c r="Z65" s="122">
        <f>Z59-Z62</f>
        <v>17.950804079491036</v>
      </c>
      <c r="AA65" s="123">
        <f>AA59-AA62</f>
        <v>17.950804079491036</v>
      </c>
      <c r="AB65" s="120"/>
      <c r="AC65" s="122">
        <f>AC60-AC63</f>
        <v>49.968186175301113</v>
      </c>
      <c r="AD65" s="122">
        <f>AD59-AD62</f>
        <v>49.968100929122386</v>
      </c>
      <c r="AE65" s="124">
        <f>AE61-AE64</f>
        <v>29.956469274410228</v>
      </c>
      <c r="AG65" s="174" t="s">
        <v>59</v>
      </c>
      <c r="AH65" s="106" t="s">
        <v>54</v>
      </c>
      <c r="AI65" s="107">
        <v>24</v>
      </c>
      <c r="AJ65" s="108">
        <f>10^(AI65/20)*0.0002</f>
        <v>3.1697863849222273E-3</v>
      </c>
      <c r="AK65" s="109">
        <f>AJ65</f>
        <v>3.1697863849222273E-3</v>
      </c>
    </row>
    <row r="66" spans="6:40">
      <c r="F66" s="166" t="s">
        <v>60</v>
      </c>
      <c r="G66" s="125" t="s">
        <v>61</v>
      </c>
      <c r="H66" s="126">
        <f>AI68</f>
        <v>20.020599913279618</v>
      </c>
      <c r="I66" s="57">
        <f>I68+117.78</f>
        <v>29.920953504774928</v>
      </c>
      <c r="J66" s="57">
        <f>J68+117.78</f>
        <v>-6.0790464952250716</v>
      </c>
      <c r="K66" s="127"/>
      <c r="L66" s="126"/>
      <c r="M66" s="57">
        <f>M68+106.99</f>
        <v>3.1309535047749222</v>
      </c>
      <c r="N66" s="128">
        <f t="shared" ref="N66:Q66" si="2">N68+106.99</f>
        <v>3.1309535047749222</v>
      </c>
      <c r="O66" s="59">
        <f t="shared" si="2"/>
        <v>-6.8690464952250778</v>
      </c>
      <c r="P66" s="57">
        <f t="shared" si="2"/>
        <v>28.130953504774922</v>
      </c>
      <c r="Q66" s="57">
        <f t="shared" si="2"/>
        <v>28.130953504774922</v>
      </c>
      <c r="R66" s="57"/>
      <c r="S66" s="57"/>
      <c r="T66" s="57"/>
      <c r="U66" s="57"/>
      <c r="V66" s="57"/>
      <c r="W66" s="57">
        <f>W68+106.99</f>
        <v>16.130953504774922</v>
      </c>
      <c r="X66" s="57">
        <f t="shared" ref="X66:Y66" si="3">X68+106.99</f>
        <v>-26.869046495225078</v>
      </c>
      <c r="Y66" s="57">
        <f t="shared" si="3"/>
        <v>33.130953504774922</v>
      </c>
      <c r="Z66" s="57">
        <f>Z68+120</f>
        <v>2.1409535047749273</v>
      </c>
      <c r="AA66" s="58">
        <f>AA68+120</f>
        <v>6.1409535047749273</v>
      </c>
      <c r="AB66" s="59"/>
      <c r="AC66" s="57"/>
      <c r="AD66" s="57">
        <f>AD68+117.78</f>
        <v>13.920953504774928</v>
      </c>
      <c r="AE66" s="58">
        <f>AE68+117.78</f>
        <v>18.920953504774928</v>
      </c>
      <c r="AG66" s="174"/>
      <c r="AH66" s="106" t="s">
        <v>56</v>
      </c>
      <c r="AI66" s="107">
        <v>-50</v>
      </c>
      <c r="AJ66" s="110"/>
      <c r="AK66" s="110"/>
    </row>
    <row r="67" spans="6:40">
      <c r="F67" s="166"/>
      <c r="G67" s="51" t="s">
        <v>51</v>
      </c>
      <c r="H67" s="52"/>
      <c r="I67" s="53"/>
      <c r="J67" s="53">
        <f>J66-J$80</f>
        <v>-126.07904649522507</v>
      </c>
      <c r="K67" s="54"/>
      <c r="L67" s="52"/>
      <c r="M67" s="53"/>
      <c r="N67" s="55"/>
      <c r="O67" s="56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9">
        <f>AA66-AA80</f>
        <v>-107.83844658194545</v>
      </c>
      <c r="AB67" s="56"/>
      <c r="AC67" s="53"/>
      <c r="AD67" s="53">
        <f>AD66-AD$80</f>
        <v>-106.07904649522507</v>
      </c>
      <c r="AE67" s="129"/>
      <c r="AG67" s="174"/>
      <c r="AH67" s="172" t="s">
        <v>57</v>
      </c>
      <c r="AI67" s="111">
        <f>AK65*10^(AI66/20)</f>
        <v>1.0023744672545438E-5</v>
      </c>
      <c r="AJ67" s="110"/>
      <c r="AK67" s="110"/>
    </row>
    <row r="68" spans="6:40">
      <c r="F68" s="167"/>
      <c r="G68" s="51" t="s">
        <v>52</v>
      </c>
      <c r="H68" s="52">
        <f>H66-117.78</f>
        <v>-97.759400086720376</v>
      </c>
      <c r="I68" s="53">
        <f>10*LOG($AH$81*1000*I78*1000)+I79+I58</f>
        <v>-87.859046495225073</v>
      </c>
      <c r="J68" s="53">
        <f>10*LOG($AH$81*1000*J78*1000)+J79+0</f>
        <v>-123.85904649522507</v>
      </c>
      <c r="K68" s="54"/>
      <c r="L68" s="52"/>
      <c r="M68" s="53">
        <f>10*LOG($AH$81*1000*M78*1000)+M79+0</f>
        <v>-103.85904649522507</v>
      </c>
      <c r="N68" s="55">
        <f>10*LOG($AH$81*1000*N78*1000)+N79+0</f>
        <v>-103.85904649522507</v>
      </c>
      <c r="O68" s="56">
        <f>10*LOG($AH$81*1000*O78*1000)+O79+0</f>
        <v>-113.85904649522507</v>
      </c>
      <c r="P68" s="53">
        <f>10*LOG($AH$81*1000*P78*1000)+P79+P58</f>
        <v>-78.859046495225073</v>
      </c>
      <c r="Q68" s="53">
        <f>10*LOG($AH$81*1000*Q78*1000)+Q79+Q58</f>
        <v>-78.859046495225073</v>
      </c>
      <c r="R68" s="53"/>
      <c r="S68" s="53"/>
      <c r="T68" s="53"/>
      <c r="U68" s="53"/>
      <c r="V68" s="53"/>
      <c r="W68" s="53">
        <f>10*LOG($AH$81*1000*W78*1000)+W79+W58</f>
        <v>-90.859046495225073</v>
      </c>
      <c r="X68" s="53">
        <f>10*LOG($AH$81*1000*X78*1000)+X79+X58</f>
        <v>-133.85904649522507</v>
      </c>
      <c r="Y68" s="53">
        <f>10*LOG($AH$81*1000*Y78*1000)+Y79+Y58</f>
        <v>-73.859046495225073</v>
      </c>
      <c r="Z68" s="53">
        <f>10*LOG($AH$81*1000*Z78*1000)+Z79+Z58</f>
        <v>-117.85904649522507</v>
      </c>
      <c r="AA68" s="129">
        <f>10*LOG($AH$81*1000*AA78*1000)+AA79+0</f>
        <v>-113.85904649522507</v>
      </c>
      <c r="AB68" s="56"/>
      <c r="AC68" s="53"/>
      <c r="AD68" s="53">
        <f>M68</f>
        <v>-103.85904649522507</v>
      </c>
      <c r="AE68" s="129">
        <f>10*LOG($AH$81*1000*AE78*1000)+AE79+AE58</f>
        <v>-98.859046495225073</v>
      </c>
      <c r="AG68" s="174"/>
      <c r="AH68" s="173"/>
      <c r="AI68" s="112">
        <f>20*LOG(AI67/0.000001)</f>
        <v>20.020599913279618</v>
      </c>
      <c r="AJ68" s="110"/>
      <c r="AK68" s="110"/>
    </row>
    <row r="69" spans="6:40">
      <c r="F69" s="165" t="s">
        <v>62</v>
      </c>
      <c r="G69" s="51" t="s">
        <v>61</v>
      </c>
      <c r="H69" s="52"/>
      <c r="I69" s="53"/>
      <c r="J69" s="53"/>
      <c r="K69" s="54"/>
      <c r="L69" s="52"/>
      <c r="M69" s="54">
        <f>M59-M72</f>
        <v>8</v>
      </c>
      <c r="N69" s="55"/>
      <c r="O69" s="56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>
        <f>Z59-Z72</f>
        <v>1.2999999999999972</v>
      </c>
      <c r="AA69" s="129"/>
      <c r="AB69" s="56"/>
      <c r="AC69" s="53"/>
      <c r="AD69" s="53">
        <f>AD59-AD72</f>
        <v>14.020599913279625</v>
      </c>
      <c r="AE69" s="129"/>
      <c r="AG69" s="174" t="s">
        <v>63</v>
      </c>
      <c r="AH69" s="106" t="s">
        <v>54</v>
      </c>
      <c r="AI69" s="107">
        <v>144</v>
      </c>
      <c r="AJ69" s="108">
        <f>10^(AI69/20)*0.0002</f>
        <v>3169.7863849222344</v>
      </c>
      <c r="AK69" s="109">
        <f>AJ69</f>
        <v>3169.7863849222344</v>
      </c>
    </row>
    <row r="70" spans="6:40">
      <c r="F70" s="166"/>
      <c r="G70" s="51" t="s">
        <v>51</v>
      </c>
      <c r="H70" s="52"/>
      <c r="I70" s="53"/>
      <c r="J70" s="53">
        <f>J60-J72</f>
        <v>-105.97940008672037</v>
      </c>
      <c r="K70" s="54"/>
      <c r="L70" s="52"/>
      <c r="M70" s="54"/>
      <c r="N70" s="55"/>
      <c r="O70" s="56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9">
        <f>AA60-AA72</f>
        <v>-142.67940008672036</v>
      </c>
      <c r="AB70" s="56"/>
      <c r="AC70" s="53"/>
      <c r="AD70" s="53">
        <f>AD60-AD72</f>
        <v>-105.97940008672037</v>
      </c>
      <c r="AE70" s="129"/>
      <c r="AG70" s="174"/>
      <c r="AH70" s="106" t="s">
        <v>56</v>
      </c>
      <c r="AI70" s="107">
        <v>-50</v>
      </c>
      <c r="AJ70" s="110"/>
      <c r="AK70" s="110"/>
    </row>
    <row r="71" spans="6:40">
      <c r="F71" s="166"/>
      <c r="G71" s="51" t="s">
        <v>52</v>
      </c>
      <c r="H71" s="52"/>
      <c r="I71" s="53"/>
      <c r="J71" s="53"/>
      <c r="K71" s="54"/>
      <c r="L71" s="52"/>
      <c r="M71" s="54"/>
      <c r="N71" s="55">
        <f>N61-N72</f>
        <v>-54.989999999999995</v>
      </c>
      <c r="O71" s="56">
        <f>O61-O72</f>
        <v>-74.989999999999995</v>
      </c>
      <c r="P71" s="53"/>
      <c r="Q71" s="53"/>
      <c r="R71" s="53"/>
      <c r="S71" s="53"/>
      <c r="T71" s="53"/>
      <c r="U71" s="53"/>
      <c r="V71" s="53"/>
      <c r="W71" s="53"/>
      <c r="X71" s="53">
        <f>X61-X72</f>
        <v>-141.69</v>
      </c>
      <c r="Y71" s="53"/>
      <c r="Z71" s="53"/>
      <c r="AA71" s="129"/>
      <c r="AB71" s="56"/>
      <c r="AC71" s="53"/>
      <c r="AD71" s="53"/>
      <c r="AE71" s="129"/>
      <c r="AG71" s="174"/>
      <c r="AH71" s="172" t="s">
        <v>57</v>
      </c>
      <c r="AI71" s="111">
        <f>AK69*10^(AI70/20)</f>
        <v>10.02374467254546</v>
      </c>
      <c r="AJ71" s="110"/>
      <c r="AK71" s="110"/>
    </row>
    <row r="72" spans="6:40">
      <c r="F72" s="167"/>
      <c r="G72" s="51" t="s">
        <v>64</v>
      </c>
      <c r="H72" s="52"/>
      <c r="I72" s="53"/>
      <c r="J72" s="53">
        <v>100</v>
      </c>
      <c r="K72" s="54"/>
      <c r="L72" s="52"/>
      <c r="M72" s="54">
        <v>100</v>
      </c>
      <c r="N72" s="55">
        <v>50</v>
      </c>
      <c r="O72" s="56">
        <v>50</v>
      </c>
      <c r="P72" s="53"/>
      <c r="Q72" s="53"/>
      <c r="R72" s="53"/>
      <c r="S72" s="53"/>
      <c r="T72" s="53"/>
      <c r="U72" s="53"/>
      <c r="V72" s="53"/>
      <c r="W72" s="53"/>
      <c r="X72" s="53">
        <v>50</v>
      </c>
      <c r="Y72" s="53"/>
      <c r="Z72" s="53">
        <v>70</v>
      </c>
      <c r="AA72" s="129">
        <v>100</v>
      </c>
      <c r="AB72" s="56"/>
      <c r="AC72" s="53"/>
      <c r="AD72" s="53">
        <v>100</v>
      </c>
      <c r="AE72" s="129"/>
      <c r="AG72" s="174"/>
      <c r="AH72" s="173"/>
      <c r="AI72" s="112">
        <f>20*LOG(AI71/0.000001)</f>
        <v>140.02059991327963</v>
      </c>
      <c r="AJ72" s="110"/>
      <c r="AK72" s="110"/>
    </row>
    <row r="73" spans="6:40">
      <c r="F73" s="165" t="s">
        <v>65</v>
      </c>
      <c r="G73" s="51" t="s">
        <v>61</v>
      </c>
      <c r="H73" s="52"/>
      <c r="I73" s="53"/>
      <c r="J73" s="53"/>
      <c r="K73" s="54"/>
      <c r="L73" s="52"/>
      <c r="M73" s="54"/>
      <c r="N73" s="55"/>
      <c r="O73" s="56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9"/>
      <c r="AB73" s="56"/>
      <c r="AC73" s="53"/>
      <c r="AD73" s="53"/>
      <c r="AE73" s="129">
        <f>AE74+117.78</f>
        <v>109.02059991327963</v>
      </c>
    </row>
    <row r="74" spans="6:40">
      <c r="F74" s="166"/>
      <c r="G74" s="51" t="s">
        <v>52</v>
      </c>
      <c r="H74" s="52"/>
      <c r="I74" s="53"/>
      <c r="J74" s="53"/>
      <c r="K74" s="54"/>
      <c r="L74" s="52"/>
      <c r="M74" s="54"/>
      <c r="N74" s="55"/>
      <c r="O74" s="56">
        <f>O61+O75</f>
        <v>-89.99</v>
      </c>
      <c r="P74" s="53">
        <f>P61+P75</f>
        <v>-74.989999999999995</v>
      </c>
      <c r="Q74" s="53">
        <f>Q61+Q75</f>
        <v>10.010000000000005</v>
      </c>
      <c r="R74" s="53"/>
      <c r="S74" s="53"/>
      <c r="T74" s="53"/>
      <c r="U74" s="53"/>
      <c r="V74" s="53"/>
      <c r="W74" s="53"/>
      <c r="X74" s="53"/>
      <c r="Y74" s="53"/>
      <c r="Z74" s="53"/>
      <c r="AA74" s="129"/>
      <c r="AB74" s="56"/>
      <c r="AC74" s="53"/>
      <c r="AD74" s="53"/>
      <c r="AE74" s="129">
        <f>AE61+AE75</f>
        <v>-8.7594000867203761</v>
      </c>
    </row>
    <row r="75" spans="6:40">
      <c r="F75" s="167"/>
      <c r="G75" s="51" t="s">
        <v>64</v>
      </c>
      <c r="H75" s="52"/>
      <c r="I75" s="53"/>
      <c r="J75" s="53"/>
      <c r="K75" s="54"/>
      <c r="L75" s="52"/>
      <c r="M75" s="54"/>
      <c r="N75" s="55"/>
      <c r="O75" s="56">
        <v>-65</v>
      </c>
      <c r="P75" s="53">
        <v>-80</v>
      </c>
      <c r="Q75" s="53">
        <v>-25</v>
      </c>
      <c r="R75" s="53"/>
      <c r="S75" s="53"/>
      <c r="T75" s="53"/>
      <c r="U75" s="53"/>
      <c r="V75" s="53"/>
      <c r="W75" s="53"/>
      <c r="X75" s="53"/>
      <c r="Y75" s="53"/>
      <c r="Z75" s="53"/>
      <c r="AA75" s="129"/>
      <c r="AB75" s="56"/>
      <c r="AC75" s="53"/>
      <c r="AD75" s="53"/>
      <c r="AE75" s="129">
        <v>-30</v>
      </c>
    </row>
    <row r="76" spans="6:40">
      <c r="F76" s="130" t="s">
        <v>66</v>
      </c>
      <c r="G76" s="51"/>
      <c r="H76" s="52"/>
      <c r="I76" s="53"/>
      <c r="J76" s="53">
        <v>12</v>
      </c>
      <c r="K76" s="54"/>
      <c r="L76" s="132">
        <v>8</v>
      </c>
      <c r="M76" s="54"/>
      <c r="N76" s="55"/>
      <c r="O76" s="56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9">
        <v>12</v>
      </c>
      <c r="AB76" s="56">
        <v>12</v>
      </c>
      <c r="AC76" s="53">
        <v>12</v>
      </c>
      <c r="AD76" s="53">
        <f>AC76</f>
        <v>12</v>
      </c>
      <c r="AE76" s="129"/>
    </row>
    <row r="77" spans="6:40" ht="27">
      <c r="F77" s="44" t="s">
        <v>67</v>
      </c>
      <c r="G77" s="51" t="s">
        <v>68</v>
      </c>
      <c r="H77" s="52"/>
      <c r="I77" s="53"/>
      <c r="J77" s="53">
        <f>20*LOG(2^(-J76))</f>
        <v>-72.247198959355487</v>
      </c>
      <c r="K77" s="54"/>
      <c r="L77" s="52">
        <f>20*LOG(2^(-L76))</f>
        <v>-48.164799306236993</v>
      </c>
      <c r="M77" s="53"/>
      <c r="N77" s="55"/>
      <c r="O77" s="56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9">
        <f>20*LOG(2^(-AA76))</f>
        <v>-72.247198959355487</v>
      </c>
      <c r="AB77" s="53">
        <f>20*LOG(2^(-AB76))</f>
        <v>-72.247198959355487</v>
      </c>
      <c r="AC77" s="53">
        <f>20*LOG(2^(-AC76))</f>
        <v>-72.247198959355487</v>
      </c>
      <c r="AD77" s="53">
        <f>AC77</f>
        <v>-72.247198959355487</v>
      </c>
      <c r="AE77" s="129"/>
      <c r="AG77" s="133" t="s">
        <v>69</v>
      </c>
      <c r="AH77" s="134"/>
      <c r="AI77" s="134"/>
      <c r="AJ77" s="134"/>
      <c r="AK77" s="134"/>
    </row>
    <row r="78" spans="6:40" ht="14.25" thickBot="1">
      <c r="F78" s="130" t="s">
        <v>70</v>
      </c>
      <c r="G78" s="51" t="s">
        <v>71</v>
      </c>
      <c r="H78" s="52">
        <v>10</v>
      </c>
      <c r="I78" s="53">
        <v>10</v>
      </c>
      <c r="J78" s="53">
        <f>I78</f>
        <v>10</v>
      </c>
      <c r="K78" s="54"/>
      <c r="L78" s="52"/>
      <c r="M78" s="54">
        <v>10</v>
      </c>
      <c r="N78" s="55">
        <v>10</v>
      </c>
      <c r="O78" s="56">
        <v>10</v>
      </c>
      <c r="P78" s="56">
        <v>10</v>
      </c>
      <c r="Q78" s="56">
        <v>10</v>
      </c>
      <c r="R78" s="56">
        <v>10</v>
      </c>
      <c r="S78" s="53">
        <v>10</v>
      </c>
      <c r="T78" s="53">
        <v>10</v>
      </c>
      <c r="U78" s="53">
        <v>10</v>
      </c>
      <c r="V78" s="53">
        <v>10</v>
      </c>
      <c r="W78" s="53">
        <v>10</v>
      </c>
      <c r="X78" s="53">
        <v>10</v>
      </c>
      <c r="Y78" s="53">
        <v>10</v>
      </c>
      <c r="Z78" s="53">
        <v>10</v>
      </c>
      <c r="AA78" s="129">
        <v>10</v>
      </c>
      <c r="AB78" s="56"/>
      <c r="AC78" s="53"/>
      <c r="AD78" s="53"/>
      <c r="AE78" s="129">
        <v>10</v>
      </c>
      <c r="AG78" s="134"/>
      <c r="AH78" s="134"/>
      <c r="AI78" s="134"/>
      <c r="AJ78" s="134"/>
      <c r="AK78" s="134"/>
      <c r="AL78" s="134"/>
      <c r="AM78" s="134"/>
      <c r="AN78" s="134"/>
    </row>
    <row r="79" spans="6:40" ht="15.75" thickBot="1">
      <c r="F79" s="168" t="s">
        <v>72</v>
      </c>
      <c r="G79" s="169"/>
      <c r="H79" s="52"/>
      <c r="I79" s="53">
        <v>2</v>
      </c>
      <c r="J79" s="53">
        <v>10</v>
      </c>
      <c r="K79" s="54"/>
      <c r="L79" s="52"/>
      <c r="M79" s="54">
        <v>30</v>
      </c>
      <c r="N79" s="55">
        <v>30</v>
      </c>
      <c r="O79" s="56">
        <v>20</v>
      </c>
      <c r="P79" s="53">
        <v>25</v>
      </c>
      <c r="Q79" s="53">
        <v>25</v>
      </c>
      <c r="R79" s="53"/>
      <c r="S79" s="53"/>
      <c r="T79" s="53"/>
      <c r="U79" s="53"/>
      <c r="V79" s="53"/>
      <c r="W79" s="53">
        <v>3</v>
      </c>
      <c r="X79" s="53">
        <v>20</v>
      </c>
      <c r="Y79" s="53">
        <v>10</v>
      </c>
      <c r="Z79" s="53">
        <v>10</v>
      </c>
      <c r="AA79" s="129">
        <v>20</v>
      </c>
      <c r="AB79" s="56"/>
      <c r="AC79" s="53"/>
      <c r="AD79" s="53"/>
      <c r="AE79" s="129">
        <v>10</v>
      </c>
      <c r="AG79" s="136" t="s">
        <v>73</v>
      </c>
      <c r="AH79" s="137">
        <v>25</v>
      </c>
      <c r="AI79" s="138" t="s">
        <v>74</v>
      </c>
      <c r="AJ79" s="139">
        <f>AH79+273</f>
        <v>298</v>
      </c>
      <c r="AK79" s="138" t="s">
        <v>75</v>
      </c>
      <c r="AL79" s="134"/>
      <c r="AM79" s="134"/>
      <c r="AN79" s="134"/>
    </row>
    <row r="80" spans="6:40" ht="17.25" thickBot="1">
      <c r="F80" s="135" t="s">
        <v>76</v>
      </c>
      <c r="G80" s="51" t="s">
        <v>61</v>
      </c>
      <c r="H80" s="52">
        <v>140</v>
      </c>
      <c r="I80" s="53">
        <f>20*LOG(1.5/0.000001)</f>
        <v>123.52182518111363</v>
      </c>
      <c r="J80" s="140">
        <f>20*LOG(1/0.000001)</f>
        <v>120</v>
      </c>
      <c r="K80" s="54"/>
      <c r="L80" s="141">
        <f>20*LOG(0.5/0.000001)</f>
        <v>113.97940008672037</v>
      </c>
      <c r="M80" s="142">
        <f>20*LOG(0.5/0.000001)</f>
        <v>113.97940008672037</v>
      </c>
      <c r="N80" s="55"/>
      <c r="O80" s="56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>
        <f>20*LOG(0.5/0.000001)</f>
        <v>113.97940008672037</v>
      </c>
      <c r="AA80" s="143">
        <f>20*LOG(0.5/0.000001)</f>
        <v>113.97940008672037</v>
      </c>
      <c r="AB80" s="56"/>
      <c r="AC80" s="53"/>
      <c r="AD80" s="53">
        <f>20*LOG(1/0.000001)</f>
        <v>120</v>
      </c>
      <c r="AE80" s="129"/>
      <c r="AG80" s="136" t="s">
        <v>77</v>
      </c>
      <c r="AH80" s="137">
        <v>10</v>
      </c>
      <c r="AI80" s="138" t="s">
        <v>78</v>
      </c>
      <c r="AJ80" s="144">
        <f>AH80*1000</f>
        <v>10000</v>
      </c>
      <c r="AK80" s="138" t="s">
        <v>79</v>
      </c>
      <c r="AL80" s="145" t="s">
        <v>80</v>
      </c>
      <c r="AM80" s="144">
        <v>1.3800000000000001E-23</v>
      </c>
      <c r="AN80" s="138" t="s">
        <v>81</v>
      </c>
    </row>
    <row r="81" spans="6:40" ht="16.5">
      <c r="F81" s="135" t="s">
        <v>82</v>
      </c>
      <c r="G81" s="51" t="s">
        <v>52</v>
      </c>
      <c r="H81" s="52"/>
      <c r="I81" s="53"/>
      <c r="J81" s="53"/>
      <c r="K81" s="54"/>
      <c r="L81" s="52"/>
      <c r="M81" s="54"/>
      <c r="N81" s="55">
        <v>10</v>
      </c>
      <c r="O81" s="56"/>
      <c r="P81" s="53">
        <v>20</v>
      </c>
      <c r="Q81" s="53">
        <v>43</v>
      </c>
      <c r="R81" s="53"/>
      <c r="S81" s="53"/>
      <c r="T81" s="53"/>
      <c r="U81" s="53"/>
      <c r="V81" s="53"/>
      <c r="W81" s="53">
        <v>10</v>
      </c>
      <c r="X81" s="53"/>
      <c r="Y81" s="53">
        <v>10</v>
      </c>
      <c r="Z81" s="53"/>
      <c r="AA81" s="129"/>
      <c r="AB81" s="56"/>
      <c r="AC81" s="53"/>
      <c r="AD81" s="53"/>
      <c r="AE81" s="129">
        <v>27</v>
      </c>
      <c r="AG81" s="136" t="s">
        <v>83</v>
      </c>
      <c r="AH81" s="144">
        <f>AM80*AJ79</f>
        <v>4.1124E-21</v>
      </c>
      <c r="AI81" s="138" t="s">
        <v>84</v>
      </c>
      <c r="AJ81" s="144">
        <f>10*LOG(AH81/0.001)</f>
        <v>-173.85904649522507</v>
      </c>
      <c r="AK81" s="138" t="s">
        <v>85</v>
      </c>
      <c r="AL81" s="138"/>
      <c r="AM81" s="134"/>
      <c r="AN81" s="138"/>
    </row>
    <row r="82" spans="6:40" ht="17.25" thickBot="1">
      <c r="F82" s="131" t="s">
        <v>86</v>
      </c>
      <c r="G82" s="60" t="s">
        <v>52</v>
      </c>
      <c r="H82" s="146"/>
      <c r="I82" s="147"/>
      <c r="J82" s="147"/>
      <c r="K82" s="148"/>
      <c r="L82" s="146"/>
      <c r="M82" s="148"/>
      <c r="N82" s="149">
        <f>O82</f>
        <v>5</v>
      </c>
      <c r="O82" s="150">
        <v>5</v>
      </c>
      <c r="P82" s="147"/>
      <c r="Q82" s="147"/>
      <c r="R82" s="147"/>
      <c r="S82" s="147"/>
      <c r="T82" s="147"/>
      <c r="U82" s="147"/>
      <c r="V82" s="147"/>
      <c r="W82" s="151">
        <f>X82</f>
        <v>5</v>
      </c>
      <c r="X82" s="147">
        <v>5</v>
      </c>
      <c r="Y82" s="147"/>
      <c r="Z82" s="147"/>
      <c r="AA82" s="152"/>
      <c r="AB82" s="150"/>
      <c r="AC82" s="147"/>
      <c r="AD82" s="147"/>
      <c r="AE82" s="152"/>
      <c r="AG82" s="134"/>
      <c r="AH82" s="144">
        <f>AM80*AJ79*AJ80</f>
        <v>4.1123999999999998E-17</v>
      </c>
      <c r="AI82" s="138" t="s">
        <v>87</v>
      </c>
      <c r="AJ82" s="144">
        <f>10*LOG(AH82/0.001)</f>
        <v>-133.85904649522507</v>
      </c>
      <c r="AK82" s="138" t="s">
        <v>88</v>
      </c>
      <c r="AL82" s="138"/>
      <c r="AM82" s="134"/>
      <c r="AN82" s="138"/>
    </row>
    <row r="83" spans="6:40" ht="18.75" customHeight="1">
      <c r="F83" s="170" t="s">
        <v>89</v>
      </c>
      <c r="G83" s="153" t="s">
        <v>90</v>
      </c>
      <c r="H83" s="154">
        <f>H84+117.78</f>
        <v>-16.079046495225072</v>
      </c>
      <c r="I83" s="155">
        <f t="shared" ref="I83:J83" si="4">I84+117.78</f>
        <v>-16.079046495225072</v>
      </c>
      <c r="J83" s="156">
        <f t="shared" si="4"/>
        <v>-16.079046495225072</v>
      </c>
      <c r="K83" s="157"/>
      <c r="L83" s="154"/>
      <c r="M83" s="155"/>
      <c r="N83" s="158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>
        <f>Z84+120</f>
        <v>-13.859046495225073</v>
      </c>
      <c r="AA83" s="159">
        <f>AA84+120</f>
        <v>-13.859046495225073</v>
      </c>
      <c r="AB83" s="160"/>
      <c r="AC83" s="155"/>
      <c r="AD83" s="155"/>
      <c r="AE83" s="157"/>
      <c r="AH83" s="1">
        <f>10*LOG(AH82)</f>
        <v>-163.85904649522507</v>
      </c>
      <c r="AL83" s="134"/>
      <c r="AM83" s="134"/>
      <c r="AN83" s="134"/>
    </row>
    <row r="84" spans="6:40" ht="17.45" customHeight="1" thickBot="1">
      <c r="F84" s="171"/>
      <c r="G84" s="161" t="s">
        <v>91</v>
      </c>
      <c r="H84" s="146">
        <f>10*LOG($AH$81*1000*H78*1000)</f>
        <v>-133.85904649522507</v>
      </c>
      <c r="I84" s="147">
        <f>10*LOG($AH$81*1000*I78*1000)</f>
        <v>-133.85904649522507</v>
      </c>
      <c r="J84" s="162">
        <f>10*LOG($AH$81*1000*J78*1000)</f>
        <v>-133.85904649522507</v>
      </c>
      <c r="K84" s="152"/>
      <c r="L84" s="146"/>
      <c r="M84" s="147">
        <f t="shared" ref="M84:AA84" si="5">10*LOG($AH$81*1000*M78*1000)</f>
        <v>-133.85904649522507</v>
      </c>
      <c r="N84" s="147">
        <f t="shared" si="5"/>
        <v>-133.85904649522507</v>
      </c>
      <c r="O84" s="147">
        <f t="shared" si="5"/>
        <v>-133.85904649522507</v>
      </c>
      <c r="P84" s="147">
        <f t="shared" si="5"/>
        <v>-133.85904649522507</v>
      </c>
      <c r="Q84" s="147">
        <f t="shared" si="5"/>
        <v>-133.85904649522507</v>
      </c>
      <c r="R84" s="147">
        <f t="shared" si="5"/>
        <v>-133.85904649522507</v>
      </c>
      <c r="S84" s="147">
        <f t="shared" si="5"/>
        <v>-133.85904649522507</v>
      </c>
      <c r="T84" s="147">
        <f t="shared" si="5"/>
        <v>-133.85904649522507</v>
      </c>
      <c r="U84" s="147">
        <f t="shared" si="5"/>
        <v>-133.85904649522507</v>
      </c>
      <c r="V84" s="147">
        <f t="shared" si="5"/>
        <v>-133.85904649522507</v>
      </c>
      <c r="W84" s="147">
        <f t="shared" si="5"/>
        <v>-133.85904649522507</v>
      </c>
      <c r="X84" s="147">
        <f t="shared" si="5"/>
        <v>-133.85904649522507</v>
      </c>
      <c r="Y84" s="147">
        <f t="shared" si="5"/>
        <v>-133.85904649522507</v>
      </c>
      <c r="Z84" s="147">
        <f t="shared" si="5"/>
        <v>-133.85904649522507</v>
      </c>
      <c r="AA84" s="163">
        <f t="shared" si="5"/>
        <v>-133.85904649522507</v>
      </c>
      <c r="AB84" s="150"/>
      <c r="AC84" s="147"/>
      <c r="AD84" s="147"/>
      <c r="AE84" s="164">
        <f>10*LOG($AH$81*1000*AE78*1000)</f>
        <v>-133.85904649522507</v>
      </c>
    </row>
    <row r="85" spans="6:40" ht="17.45" customHeight="1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40" ht="17.45" customHeight="1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40" ht="17.45" customHeight="1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40" ht="17.45" customHeight="1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40" ht="17.45" customHeight="1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40" ht="17.45" customHeight="1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40" ht="17.45" customHeight="1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40" ht="17.45" customHeight="1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40" ht="17.45" customHeight="1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40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40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40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0:22"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0:22"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0:22"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0:22"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0:22"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0:22"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0:22"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0:22"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0:22"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</sheetData>
  <mergeCells count="39">
    <mergeCell ref="AC51:AD51"/>
    <mergeCell ref="F52:G52"/>
    <mergeCell ref="F51:G51"/>
    <mergeCell ref="H51:I51"/>
    <mergeCell ref="J51:K51"/>
    <mergeCell ref="L51:N51"/>
    <mergeCell ref="O51:P51"/>
    <mergeCell ref="R51:U51"/>
    <mergeCell ref="Y55:Y56"/>
    <mergeCell ref="V51:W51"/>
    <mergeCell ref="X51:Y51"/>
    <mergeCell ref="Z51:AB51"/>
    <mergeCell ref="AB55:AB56"/>
    <mergeCell ref="AC55:AC56"/>
    <mergeCell ref="AE55:AE56"/>
    <mergeCell ref="F59:F61"/>
    <mergeCell ref="AG61:AG64"/>
    <mergeCell ref="F62:F64"/>
    <mergeCell ref="F53:G56"/>
    <mergeCell ref="H53:I53"/>
    <mergeCell ref="N53:R53"/>
    <mergeCell ref="S53:T53"/>
    <mergeCell ref="U53:Y53"/>
    <mergeCell ref="H54:I54"/>
    <mergeCell ref="N54:Y54"/>
    <mergeCell ref="H55:I56"/>
    <mergeCell ref="K55:K56"/>
    <mergeCell ref="L55:L56"/>
    <mergeCell ref="P55:W56"/>
    <mergeCell ref="F73:F75"/>
    <mergeCell ref="F79:G79"/>
    <mergeCell ref="F83:F84"/>
    <mergeCell ref="AH63:AH64"/>
    <mergeCell ref="AG65:AG68"/>
    <mergeCell ref="F66:F68"/>
    <mergeCell ref="AH67:AH68"/>
    <mergeCell ref="F69:F72"/>
    <mergeCell ref="AG69:AG72"/>
    <mergeCell ref="AH71:AH7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第19話</vt:lpstr>
      <vt:lpstr>第18話</vt:lpstr>
      <vt:lpstr>第16話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倫一 濱田</dc:creator>
  <cp:lastModifiedBy>倫一 濱田</cp:lastModifiedBy>
  <dcterms:created xsi:type="dcterms:W3CDTF">2026-01-25T08:41:21Z</dcterms:created>
  <dcterms:modified xsi:type="dcterms:W3CDTF">2026-05-02T03:48:20Z</dcterms:modified>
</cp:coreProperties>
</file>